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11/relationships/webextensiontaskpanes" Target="xl/webextensions/taskpanes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f58c0bfc8e478a/03.XLs/SOFTWAREs/TAX/"/>
    </mc:Choice>
  </mc:AlternateContent>
  <xr:revisionPtr revIDLastSave="0" documentId="8_{01BD784A-11F3-C948-B5D4-34439CF4BC4B}" xr6:coauthVersionLast="47" xr6:coauthVersionMax="47" xr10:uidLastSave="{00000000-0000-0000-0000-000000000000}"/>
  <workbookProtection workbookAlgorithmName="SHA-512" workbookHashValue="qZW+dgzNtRC6rJV4usc5qe3ohwC0PyS1H7W7veLpSLymlbd4TT32XOxc03eWuwNtGW8auXg6OzeGu/P0VzavFA==" workbookSaltValue="Q4xeL7c/ux+7Lq0Dd504wA==" workbookSpinCount="100000" lockStructure="1"/>
  <bookViews>
    <workbookView xWindow="-120" yWindow="-120" windowWidth="29040" windowHeight="15720" tabRatio="798" xr2:uid="{00000000-000D-0000-FFFF-FFFF00000000}"/>
  </bookViews>
  <sheets>
    <sheet name="DATA" sheetId="46" r:id="rId1"/>
    <sheet name="A1(Editabe)" sheetId="56" r:id="rId2"/>
    <sheet name="ANNEXURE I" sheetId="49" r:id="rId3"/>
    <sheet name="ANNEXURE II" sheetId="50" r:id="rId4"/>
    <sheet name="FORM16_FRONT" sheetId="51" r:id="rId5"/>
    <sheet name="FORM16_BACK" sheetId="52" r:id="rId6"/>
    <sheet name="RENT RECEIPT" sheetId="53" r:id="rId7"/>
    <sheet name="FORM_12BB" sheetId="55" r:id="rId8"/>
    <sheet name="10E DATA" sheetId="57" state="hidden" r:id="rId9"/>
    <sheet name="10E PRINT" sheetId="58" state="hidden" r:id="rId10"/>
    <sheet name="KEY" sheetId="47" state="hidden" r:id="rId11"/>
  </sheets>
  <definedNames>
    <definedName name="_xlnm._FilterDatabase" localSheetId="0" hidden="1">DATA!$G$16:$K$36</definedName>
    <definedName name="AAS">KEY!$G$17:$G$57</definedName>
    <definedName name="AAS_Present_Year">KEY!$G$44:$G$58</definedName>
    <definedName name="AGE">KEY!$BS$19</definedName>
    <definedName name="Age_Group">KEY!$BR$26:$BR$28</definedName>
    <definedName name="BEST">DATA!$E$24</definedName>
    <definedName name="BP_2020">KEY!$B$4:$B$84</definedName>
    <definedName name="BP_2021">KEY!$C$4:$C$84</definedName>
    <definedName name="BP_2022">KEY!$E$3:$E$85</definedName>
    <definedName name="DA_HRA_Months">KEY!$H$46:$H$58</definedName>
    <definedName name="DATES">KEY!$K$44:$K$76</definedName>
    <definedName name="EL_MONTHS_01">KEY!$G$17:$G$30</definedName>
    <definedName name="EL_MONTHS_02">KEY!$G$30:$G$43</definedName>
    <definedName name="EL_MONTHS_03">KEY!$G$43:$G$58</definedName>
    <definedName name="Gender">'10E DATA'!$B$4</definedName>
    <definedName name="LOANS">KEY!$AM$23:$AM$27</definedName>
    <definedName name="Months_18">KEY!$G$18:$G$29</definedName>
    <definedName name="Months_19">KEY!$G$31:$G$42</definedName>
    <definedName name="Months_20">KEY!$G$44:$G$57</definedName>
    <definedName name="OTHER_SAVINGS_LIST">KEY!$AM$3:$AM$19</definedName>
    <definedName name="_xlnm.Print_Area" localSheetId="9">'10E PRINT'!$B$1:$K$88</definedName>
    <definedName name="_xlnm.Print_Area" localSheetId="1">'A1(Editabe)'!$B$4:$AC$31</definedName>
    <definedName name="_xlnm.Print_Area" localSheetId="3">'ANNEXURE II'!$B$2:$T$77</definedName>
    <definedName name="_xlnm.Print_Area" localSheetId="7">FORM_12BB!$B$2:$G$60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6" l="1"/>
  <c r="Y3" i="47"/>
  <c r="H5" i="49"/>
  <c r="H7" i="56"/>
  <c r="AE6" i="47"/>
  <c r="AI5" i="47"/>
  <c r="AE5" i="47"/>
  <c r="AI4" i="47"/>
  <c r="F19" i="56"/>
  <c r="F20" i="56"/>
  <c r="F21" i="56"/>
  <c r="F22" i="56"/>
  <c r="F23" i="56"/>
  <c r="F24" i="56"/>
  <c r="F25" i="56"/>
  <c r="F26" i="56"/>
  <c r="F27" i="56"/>
  <c r="AB3" i="47"/>
  <c r="AE3" i="47"/>
  <c r="AD5" i="47"/>
  <c r="AH4" i="47"/>
  <c r="AI3" i="47"/>
  <c r="AH5" i="47"/>
  <c r="G4" i="46"/>
  <c r="G5" i="46"/>
  <c r="G6" i="46"/>
  <c r="G7" i="46"/>
  <c r="G8" i="46"/>
  <c r="G9" i="46"/>
  <c r="G10" i="46"/>
  <c r="G11" i="46"/>
  <c r="G12" i="46"/>
  <c r="G13" i="46"/>
  <c r="G14" i="46"/>
  <c r="G15" i="46"/>
  <c r="H3" i="47"/>
  <c r="O41" i="47"/>
  <c r="O42" i="47"/>
  <c r="M24" i="47"/>
  <c r="M32" i="47"/>
  <c r="H10" i="47"/>
  <c r="N32" i="47"/>
  <c r="M36" i="47"/>
  <c r="N36" i="47"/>
  <c r="M34" i="47"/>
  <c r="M9" i="47"/>
  <c r="M10" i="47"/>
  <c r="M11" i="47"/>
  <c r="M12" i="47"/>
  <c r="M13" i="47"/>
  <c r="M14" i="47"/>
  <c r="M15" i="47"/>
  <c r="H11" i="47"/>
  <c r="P15" i="47"/>
  <c r="M16" i="47"/>
  <c r="M17" i="47"/>
  <c r="M18" i="47"/>
  <c r="M19" i="47"/>
  <c r="M20" i="47"/>
  <c r="M21" i="47"/>
  <c r="P21" i="47"/>
  <c r="M22" i="47"/>
  <c r="M23" i="47"/>
  <c r="P23" i="47"/>
  <c r="M25" i="47"/>
  <c r="M26" i="47"/>
  <c r="M27" i="47"/>
  <c r="M28" i="47"/>
  <c r="M29" i="47"/>
  <c r="M30" i="47"/>
  <c r="N30" i="47"/>
  <c r="M31" i="47"/>
  <c r="P31" i="47"/>
  <c r="M33" i="47"/>
  <c r="N33" i="47"/>
  <c r="M35" i="47"/>
  <c r="M37" i="47"/>
  <c r="M38" i="47"/>
  <c r="M39" i="47"/>
  <c r="M40" i="47"/>
  <c r="AB9" i="47"/>
  <c r="X41" i="47"/>
  <c r="Y41" i="47"/>
  <c r="AC41" i="47"/>
  <c r="AB39" i="47"/>
  <c r="AC18" i="49"/>
  <c r="AA13" i="46"/>
  <c r="G19" i="56"/>
  <c r="AB27" i="56"/>
  <c r="AB25" i="49"/>
  <c r="Q19" i="56"/>
  <c r="R19" i="56"/>
  <c r="S19" i="56"/>
  <c r="T19" i="56"/>
  <c r="U19" i="56"/>
  <c r="V19" i="56"/>
  <c r="W19" i="56"/>
  <c r="X19" i="56"/>
  <c r="Y19" i="56"/>
  <c r="R20" i="56"/>
  <c r="S20" i="56"/>
  <c r="T20" i="56"/>
  <c r="U20" i="56"/>
  <c r="V20" i="56"/>
  <c r="W20" i="56"/>
  <c r="X20" i="56"/>
  <c r="Y20" i="56"/>
  <c r="Q21" i="56"/>
  <c r="R21" i="56"/>
  <c r="S21" i="56"/>
  <c r="T21" i="56"/>
  <c r="U21" i="56"/>
  <c r="V21" i="56"/>
  <c r="W21" i="56"/>
  <c r="X21" i="56"/>
  <c r="Y21" i="56"/>
  <c r="Q22" i="56"/>
  <c r="R22" i="56"/>
  <c r="S22" i="56"/>
  <c r="T22" i="56"/>
  <c r="U22" i="56"/>
  <c r="V22" i="56"/>
  <c r="W22" i="56"/>
  <c r="X22" i="56"/>
  <c r="Y22" i="56"/>
  <c r="Q23" i="56"/>
  <c r="R23" i="56"/>
  <c r="S23" i="56"/>
  <c r="T23" i="56"/>
  <c r="U23" i="56"/>
  <c r="V23" i="56"/>
  <c r="W23" i="56"/>
  <c r="X23" i="56"/>
  <c r="Y23" i="56"/>
  <c r="Q24" i="56"/>
  <c r="R24" i="56"/>
  <c r="S24" i="56"/>
  <c r="T24" i="56"/>
  <c r="U24" i="56"/>
  <c r="V24" i="56"/>
  <c r="W24" i="56"/>
  <c r="X24" i="56"/>
  <c r="Y24" i="56"/>
  <c r="Q25" i="56"/>
  <c r="R25" i="56"/>
  <c r="S25" i="56"/>
  <c r="T25" i="56"/>
  <c r="U25" i="56"/>
  <c r="V25" i="56"/>
  <c r="W25" i="56"/>
  <c r="X25" i="56"/>
  <c r="Y25" i="56"/>
  <c r="Q26" i="56"/>
  <c r="R26" i="56"/>
  <c r="S26" i="56"/>
  <c r="T26" i="56"/>
  <c r="U26" i="56"/>
  <c r="V26" i="56"/>
  <c r="W26" i="56"/>
  <c r="X26" i="56"/>
  <c r="Y26" i="56"/>
  <c r="Q27" i="56"/>
  <c r="R27" i="56"/>
  <c r="S27" i="56"/>
  <c r="T27" i="56"/>
  <c r="U27" i="56"/>
  <c r="V27" i="56"/>
  <c r="W27" i="56"/>
  <c r="X27" i="56"/>
  <c r="Y27" i="56"/>
  <c r="L19" i="56"/>
  <c r="M19" i="56"/>
  <c r="N19" i="56"/>
  <c r="O19" i="56"/>
  <c r="G20" i="56"/>
  <c r="H20" i="56"/>
  <c r="I20" i="56"/>
  <c r="J20" i="56"/>
  <c r="K20" i="56"/>
  <c r="L20" i="56"/>
  <c r="M20" i="56"/>
  <c r="N20" i="56"/>
  <c r="O20" i="56"/>
  <c r="C21" i="56"/>
  <c r="D21" i="56"/>
  <c r="E21" i="56"/>
  <c r="G21" i="56"/>
  <c r="H21" i="56"/>
  <c r="I21" i="56"/>
  <c r="J21" i="56"/>
  <c r="K21" i="56"/>
  <c r="L21" i="56"/>
  <c r="M21" i="56"/>
  <c r="N21" i="56"/>
  <c r="O21" i="56"/>
  <c r="C22" i="56"/>
  <c r="D22" i="56"/>
  <c r="E22" i="56"/>
  <c r="G22" i="56"/>
  <c r="H22" i="56"/>
  <c r="I22" i="56"/>
  <c r="J22" i="56"/>
  <c r="K22" i="56"/>
  <c r="L22" i="56"/>
  <c r="M22" i="56"/>
  <c r="N22" i="56"/>
  <c r="O22" i="56"/>
  <c r="C23" i="56"/>
  <c r="D23" i="56"/>
  <c r="E23" i="56"/>
  <c r="G23" i="56"/>
  <c r="H23" i="56"/>
  <c r="I23" i="56"/>
  <c r="J23" i="56"/>
  <c r="K23" i="56"/>
  <c r="L23" i="56"/>
  <c r="M23" i="56"/>
  <c r="N23" i="56"/>
  <c r="O23" i="56"/>
  <c r="C24" i="56"/>
  <c r="D24" i="56"/>
  <c r="E24" i="56"/>
  <c r="G24" i="56"/>
  <c r="H24" i="56"/>
  <c r="I24" i="56"/>
  <c r="J24" i="56"/>
  <c r="K24" i="56"/>
  <c r="L24" i="56"/>
  <c r="M24" i="56"/>
  <c r="N24" i="56"/>
  <c r="O24" i="56"/>
  <c r="C25" i="56"/>
  <c r="D25" i="56"/>
  <c r="E25" i="56"/>
  <c r="G25" i="56"/>
  <c r="H25" i="56"/>
  <c r="I25" i="56"/>
  <c r="J25" i="56"/>
  <c r="K25" i="56"/>
  <c r="L25" i="56"/>
  <c r="M25" i="56"/>
  <c r="N25" i="56"/>
  <c r="O25" i="56"/>
  <c r="C26" i="56"/>
  <c r="D26" i="56"/>
  <c r="E26" i="56"/>
  <c r="G26" i="56"/>
  <c r="H26" i="56"/>
  <c r="I26" i="56"/>
  <c r="J26" i="56"/>
  <c r="K26" i="56"/>
  <c r="L26" i="56"/>
  <c r="M26" i="56"/>
  <c r="N26" i="56"/>
  <c r="O26" i="56"/>
  <c r="D27" i="56"/>
  <c r="E27" i="56"/>
  <c r="G27" i="56"/>
  <c r="I27" i="56"/>
  <c r="J27" i="56"/>
  <c r="K27" i="56"/>
  <c r="L27" i="56"/>
  <c r="M27" i="56"/>
  <c r="N27" i="56"/>
  <c r="O27" i="56"/>
  <c r="B8" i="55"/>
  <c r="T72" i="50"/>
  <c r="G4" i="47"/>
  <c r="V32" i="46"/>
  <c r="H8" i="47"/>
  <c r="AK38" i="57"/>
  <c r="AS38" i="57"/>
  <c r="AK36" i="57"/>
  <c r="AL36" i="57"/>
  <c r="AT36" i="57"/>
  <c r="AK33" i="57"/>
  <c r="AS33" i="57"/>
  <c r="AK31" i="57"/>
  <c r="AL31" i="57"/>
  <c r="AT31" i="57"/>
  <c r="AK30" i="57"/>
  <c r="AS30" i="57"/>
  <c r="AK11" i="57"/>
  <c r="AL11" i="57"/>
  <c r="AT11" i="57"/>
  <c r="AK14" i="57"/>
  <c r="AL14" i="57"/>
  <c r="AT14" i="57"/>
  <c r="AS11" i="57"/>
  <c r="AK13" i="57"/>
  <c r="AS13" i="57"/>
  <c r="AS14" i="57"/>
  <c r="AK7" i="57"/>
  <c r="AS7" i="57"/>
  <c r="AL7" i="57"/>
  <c r="AN7" i="57"/>
  <c r="AK8" i="57"/>
  <c r="AL8" i="57"/>
  <c r="AN8" i="57"/>
  <c r="AK9" i="57"/>
  <c r="AL9" i="57"/>
  <c r="AN9" i="57"/>
  <c r="AO9" i="57"/>
  <c r="AK10" i="57"/>
  <c r="AL10" i="57"/>
  <c r="AT10" i="57"/>
  <c r="AK12" i="57"/>
  <c r="AL12" i="57"/>
  <c r="AT12" i="57"/>
  <c r="AL13" i="57"/>
  <c r="AT13" i="57"/>
  <c r="AK15" i="57"/>
  <c r="AL15" i="57"/>
  <c r="AT15" i="57"/>
  <c r="AK16" i="57"/>
  <c r="AL16" i="57"/>
  <c r="AT16" i="57"/>
  <c r="AK17" i="57"/>
  <c r="AS17" i="57"/>
  <c r="AL17" i="57"/>
  <c r="AM17" i="57"/>
  <c r="AU17" i="57"/>
  <c r="AB17" i="57"/>
  <c r="AK18" i="57"/>
  <c r="AL18" i="57"/>
  <c r="AM18" i="57"/>
  <c r="AU18" i="57"/>
  <c r="AB18" i="57"/>
  <c r="AC18" i="57"/>
  <c r="AD18" i="57"/>
  <c r="AK19" i="57"/>
  <c r="AC19" i="57"/>
  <c r="AB19" i="57"/>
  <c r="AK20" i="57"/>
  <c r="AL20" i="57"/>
  <c r="AT20" i="57"/>
  <c r="AB20" i="57"/>
  <c r="AB21" i="57"/>
  <c r="AK27" i="57"/>
  <c r="AS27" i="57"/>
  <c r="AT27" i="57"/>
  <c r="AV27" i="57"/>
  <c r="AK28" i="57"/>
  <c r="AS28" i="57"/>
  <c r="AT28" i="57"/>
  <c r="AV28" i="57"/>
  <c r="AK29" i="57"/>
  <c r="AL29" i="57"/>
  <c r="AN29" i="57"/>
  <c r="AL30" i="57"/>
  <c r="AT30" i="57"/>
  <c r="AS31" i="57"/>
  <c r="AK32" i="57"/>
  <c r="AL32" i="57"/>
  <c r="AT32" i="57"/>
  <c r="AL33" i="57"/>
  <c r="AT33" i="57"/>
  <c r="AK34" i="57"/>
  <c r="AL34" i="57"/>
  <c r="AT34" i="57"/>
  <c r="AK35" i="57"/>
  <c r="AS35" i="57"/>
  <c r="AK37" i="57"/>
  <c r="AC37" i="57"/>
  <c r="AD37" i="57"/>
  <c r="AB37" i="57"/>
  <c r="AL38" i="57"/>
  <c r="AT38" i="57"/>
  <c r="AB38" i="57"/>
  <c r="AK39" i="57"/>
  <c r="AL39" i="57"/>
  <c r="AT39" i="57"/>
  <c r="AB39" i="57"/>
  <c r="AK40" i="57"/>
  <c r="AC40" i="57"/>
  <c r="AB40" i="57"/>
  <c r="AB41" i="57"/>
  <c r="AS29" i="57"/>
  <c r="AT29" i="57"/>
  <c r="AV29" i="57"/>
  <c r="AS9" i="57"/>
  <c r="AT9" i="57"/>
  <c r="AV9" i="57"/>
  <c r="BS8" i="47"/>
  <c r="Y21" i="46"/>
  <c r="Y20" i="46"/>
  <c r="P20" i="49"/>
  <c r="C32" i="58"/>
  <c r="B40" i="58"/>
  <c r="B84" i="58"/>
  <c r="AL27" i="57"/>
  <c r="AN27" i="57"/>
  <c r="AO27" i="57"/>
  <c r="AS20" i="57"/>
  <c r="AS12" i="57"/>
  <c r="AT17" i="57"/>
  <c r="AS34" i="57"/>
  <c r="AS19" i="57"/>
  <c r="AS18" i="57"/>
  <c r="AS10" i="57"/>
  <c r="AS37" i="57"/>
  <c r="AS8" i="57"/>
  <c r="AT8" i="57"/>
  <c r="AV8" i="57"/>
  <c r="AC17" i="57"/>
  <c r="AD17" i="57"/>
  <c r="AT18" i="57"/>
  <c r="AS32" i="57"/>
  <c r="AS36" i="57"/>
  <c r="AS40" i="57"/>
  <c r="AS16" i="57"/>
  <c r="AM13" i="57"/>
  <c r="AN17" i="57"/>
  <c r="AS15" i="57"/>
  <c r="AS39" i="57"/>
  <c r="AL19" i="57"/>
  <c r="AT19" i="57"/>
  <c r="AM34" i="57"/>
  <c r="AU34" i="57"/>
  <c r="AN34" i="57"/>
  <c r="AM30" i="57"/>
  <c r="AM31" i="57"/>
  <c r="AL40" i="57"/>
  <c r="AT40" i="57"/>
  <c r="AL37" i="57"/>
  <c r="AT37" i="57"/>
  <c r="AM16" i="57"/>
  <c r="AM12" i="57"/>
  <c r="AL35" i="57"/>
  <c r="AM35" i="57"/>
  <c r="AU35" i="57"/>
  <c r="AC39" i="57"/>
  <c r="AD39" i="57"/>
  <c r="AM33" i="57"/>
  <c r="AU33" i="57"/>
  <c r="AT35" i="57"/>
  <c r="AL28" i="57"/>
  <c r="AN28" i="57"/>
  <c r="AM10" i="57"/>
  <c r="AO29" i="57"/>
  <c r="AP29" i="57"/>
  <c r="AM36" i="57"/>
  <c r="AM15" i="57"/>
  <c r="AW8" i="57"/>
  <c r="AX8" i="57"/>
  <c r="AW27" i="57"/>
  <c r="AX27" i="57"/>
  <c r="AD19" i="57"/>
  <c r="AE19" i="57"/>
  <c r="AO28" i="57"/>
  <c r="AP28" i="57"/>
  <c r="AE18" i="57"/>
  <c r="AF18" i="57"/>
  <c r="AW29" i="57"/>
  <c r="AX29" i="57"/>
  <c r="AE17" i="57"/>
  <c r="AF17" i="57"/>
  <c r="AO8" i="57"/>
  <c r="AP8" i="57"/>
  <c r="AM11" i="57"/>
  <c r="AN11" i="57"/>
  <c r="AV11" i="57"/>
  <c r="AU11" i="57"/>
  <c r="AM32" i="57"/>
  <c r="AW28" i="57"/>
  <c r="AX28" i="57"/>
  <c r="AW9" i="57"/>
  <c r="AX9" i="57"/>
  <c r="AD40" i="57"/>
  <c r="AE40" i="57"/>
  <c r="AE37" i="57"/>
  <c r="AF37" i="57"/>
  <c r="AO7" i="57"/>
  <c r="AP7" i="57"/>
  <c r="AC20" i="57"/>
  <c r="AP27" i="57"/>
  <c r="AP9" i="57"/>
  <c r="AC38" i="57"/>
  <c r="AD38" i="57"/>
  <c r="AE38" i="57"/>
  <c r="AM37" i="57"/>
  <c r="AM38" i="57"/>
  <c r="AT7" i="57"/>
  <c r="AV7" i="57"/>
  <c r="AN18" i="57"/>
  <c r="AV18" i="57"/>
  <c r="AM14" i="57"/>
  <c r="B88" i="58"/>
  <c r="G80" i="58"/>
  <c r="F80" i="58"/>
  <c r="E80" i="58"/>
  <c r="G79" i="58"/>
  <c r="F79" i="58"/>
  <c r="E79" i="58"/>
  <c r="G78" i="58"/>
  <c r="F78" i="58"/>
  <c r="E78" i="58"/>
  <c r="G77" i="58"/>
  <c r="F77" i="58"/>
  <c r="E77" i="58"/>
  <c r="G76" i="58"/>
  <c r="F76" i="58"/>
  <c r="E76" i="58"/>
  <c r="G75" i="58"/>
  <c r="F75" i="58"/>
  <c r="E75" i="58"/>
  <c r="G74" i="58"/>
  <c r="F74" i="58"/>
  <c r="E74" i="58"/>
  <c r="G73" i="58"/>
  <c r="F73" i="58"/>
  <c r="E73" i="58"/>
  <c r="G72" i="58"/>
  <c r="F72" i="58"/>
  <c r="E72" i="58"/>
  <c r="G71" i="58"/>
  <c r="F71" i="58"/>
  <c r="E71" i="58"/>
  <c r="G70" i="58"/>
  <c r="F70" i="58"/>
  <c r="E70" i="58"/>
  <c r="G69" i="58"/>
  <c r="F69" i="58"/>
  <c r="E69" i="58"/>
  <c r="G68" i="58"/>
  <c r="F68" i="58"/>
  <c r="E68" i="58"/>
  <c r="G67" i="58"/>
  <c r="F67" i="58"/>
  <c r="E67" i="58"/>
  <c r="G36" i="58"/>
  <c r="B41" i="58"/>
  <c r="B85" i="58"/>
  <c r="E23" i="57"/>
  <c r="D23" i="57"/>
  <c r="F20" i="57"/>
  <c r="H80" i="58"/>
  <c r="B20" i="57"/>
  <c r="B80" i="58"/>
  <c r="F19" i="57"/>
  <c r="H79" i="58"/>
  <c r="B19" i="57"/>
  <c r="B79" i="58"/>
  <c r="F18" i="57"/>
  <c r="H78" i="58"/>
  <c r="B18" i="57"/>
  <c r="B78" i="58"/>
  <c r="F17" i="57"/>
  <c r="H77" i="58"/>
  <c r="B17" i="57"/>
  <c r="B77" i="58"/>
  <c r="F16" i="57"/>
  <c r="H76" i="58"/>
  <c r="B16" i="57"/>
  <c r="B76" i="58"/>
  <c r="F15" i="57"/>
  <c r="H75" i="58"/>
  <c r="B15" i="57"/>
  <c r="B75" i="58"/>
  <c r="F14" i="57"/>
  <c r="H74" i="58"/>
  <c r="B14" i="57"/>
  <c r="B74" i="58"/>
  <c r="F13" i="57"/>
  <c r="H73" i="58"/>
  <c r="B13" i="57"/>
  <c r="B73" i="58"/>
  <c r="F12" i="57"/>
  <c r="H72" i="58"/>
  <c r="B12" i="57"/>
  <c r="B72" i="58"/>
  <c r="F11" i="57"/>
  <c r="H71" i="58"/>
  <c r="B11" i="57"/>
  <c r="B71" i="58"/>
  <c r="F10" i="57"/>
  <c r="H70" i="58"/>
  <c r="B10" i="57"/>
  <c r="B70" i="58"/>
  <c r="F9" i="57"/>
  <c r="H69" i="58"/>
  <c r="B9" i="57"/>
  <c r="B69" i="58"/>
  <c r="F8" i="57"/>
  <c r="H68" i="58"/>
  <c r="B8" i="57"/>
  <c r="B68" i="58"/>
  <c r="F7" i="57"/>
  <c r="H67" i="58"/>
  <c r="B7" i="57"/>
  <c r="B67" i="58"/>
  <c r="BS18" i="47"/>
  <c r="AM40" i="57"/>
  <c r="AN40" i="57"/>
  <c r="AV40" i="57"/>
  <c r="AE39" i="57"/>
  <c r="AF39" i="57"/>
  <c r="AG39" i="57"/>
  <c r="AH39" i="57"/>
  <c r="AN33" i="57"/>
  <c r="AV33" i="57"/>
  <c r="AN36" i="57"/>
  <c r="AV36" i="57"/>
  <c r="AU36" i="57"/>
  <c r="AN12" i="57"/>
  <c r="AU12" i="57"/>
  <c r="AN38" i="57"/>
  <c r="AV38" i="57"/>
  <c r="AU38" i="57"/>
  <c r="AO34" i="57"/>
  <c r="AW34" i="57"/>
  <c r="AV34" i="57"/>
  <c r="AN15" i="57"/>
  <c r="AV15" i="57"/>
  <c r="AU15" i="57"/>
  <c r="AN16" i="57"/>
  <c r="AV16" i="57"/>
  <c r="AU16" i="57"/>
  <c r="AN14" i="57"/>
  <c r="AV14" i="57"/>
  <c r="AU14" i="57"/>
  <c r="AM19" i="57"/>
  <c r="AN10" i="57"/>
  <c r="AU10" i="57"/>
  <c r="AN32" i="57"/>
  <c r="AV32" i="57"/>
  <c r="AU32" i="57"/>
  <c r="AU40" i="57"/>
  <c r="AO17" i="57"/>
  <c r="AV17" i="57"/>
  <c r="AN30" i="57"/>
  <c r="AV30" i="57"/>
  <c r="AU30" i="57"/>
  <c r="AN37" i="57"/>
  <c r="AV37" i="57"/>
  <c r="AU37" i="57"/>
  <c r="AN31" i="57"/>
  <c r="AU31" i="57"/>
  <c r="AN13" i="57"/>
  <c r="AU13" i="57"/>
  <c r="AO30" i="57"/>
  <c r="AW30" i="57"/>
  <c r="AP30" i="57"/>
  <c r="AX30" i="57"/>
  <c r="AM39" i="57"/>
  <c r="AN35" i="57"/>
  <c r="AV35" i="57"/>
  <c r="AO37" i="57"/>
  <c r="AW37" i="57"/>
  <c r="AO18" i="57"/>
  <c r="AO11" i="57"/>
  <c r="AW11" i="57"/>
  <c r="AP11" i="57"/>
  <c r="AX11" i="57"/>
  <c r="AO38" i="57"/>
  <c r="AO33" i="57"/>
  <c r="AO36" i="57"/>
  <c r="AF38" i="57"/>
  <c r="AD20" i="57"/>
  <c r="AE20" i="57"/>
  <c r="AM20" i="57"/>
  <c r="AW7" i="57"/>
  <c r="AX7" i="57"/>
  <c r="AG37" i="57"/>
  <c r="AH37" i="57"/>
  <c r="AG17" i="57"/>
  <c r="AH17" i="57"/>
  <c r="AF40" i="57"/>
  <c r="AF19" i="57"/>
  <c r="AG18" i="57"/>
  <c r="AH18" i="57"/>
  <c r="G9" i="57"/>
  <c r="I69" i="58"/>
  <c r="E21" i="57"/>
  <c r="K51" i="58"/>
  <c r="P25" i="49"/>
  <c r="G8" i="57"/>
  <c r="I68" i="58"/>
  <c r="G82" i="58"/>
  <c r="F82" i="58"/>
  <c r="H8" i="57"/>
  <c r="H82" i="58"/>
  <c r="H9" i="57"/>
  <c r="G7" i="57"/>
  <c r="F23" i="57"/>
  <c r="BH2" i="47"/>
  <c r="BH11" i="47"/>
  <c r="BH20" i="47"/>
  <c r="BR22" i="47"/>
  <c r="BS21" i="47"/>
  <c r="BR20" i="47"/>
  <c r="B19" i="49"/>
  <c r="AB19" i="49"/>
  <c r="P21" i="56"/>
  <c r="P19" i="49"/>
  <c r="AA19" i="49"/>
  <c r="G11" i="52"/>
  <c r="V8" i="56"/>
  <c r="V9" i="56"/>
  <c r="V10" i="56"/>
  <c r="V11" i="56"/>
  <c r="V12" i="56"/>
  <c r="V14" i="56"/>
  <c r="V15" i="56"/>
  <c r="V17" i="56"/>
  <c r="V18" i="56"/>
  <c r="D28" i="50"/>
  <c r="E29" i="55"/>
  <c r="Q4" i="49"/>
  <c r="Z24" i="49"/>
  <c r="Z23" i="49"/>
  <c r="Z22" i="49"/>
  <c r="Z21" i="49"/>
  <c r="Z20" i="49"/>
  <c r="Z17" i="49"/>
  <c r="B24" i="49"/>
  <c r="AB24" i="49"/>
  <c r="B23" i="49"/>
  <c r="AB23" i="49"/>
  <c r="B22" i="49"/>
  <c r="AB22" i="49"/>
  <c r="B21" i="49"/>
  <c r="AB21" i="49"/>
  <c r="B20" i="49"/>
  <c r="AB20" i="49"/>
  <c r="B18" i="49"/>
  <c r="B17" i="49"/>
  <c r="AB26" i="56"/>
  <c r="AB25" i="56"/>
  <c r="AB24" i="56"/>
  <c r="AB23" i="56"/>
  <c r="AB22" i="56"/>
  <c r="AB21" i="56"/>
  <c r="B7" i="56"/>
  <c r="Q6" i="56"/>
  <c r="AA5" i="56"/>
  <c r="S5" i="56"/>
  <c r="M5" i="56"/>
  <c r="C5" i="56"/>
  <c r="AA4" i="56"/>
  <c r="S4" i="56"/>
  <c r="M4" i="56"/>
  <c r="C4" i="56"/>
  <c r="G23" i="50"/>
  <c r="S18" i="50"/>
  <c r="H34" i="51"/>
  <c r="I34" i="51"/>
  <c r="O24" i="50"/>
  <c r="BB20" i="47"/>
  <c r="J8" i="50"/>
  <c r="G24" i="50"/>
  <c r="O21" i="50"/>
  <c r="O20" i="50"/>
  <c r="G21" i="50"/>
  <c r="G20" i="50"/>
  <c r="D48" i="50"/>
  <c r="D49" i="50"/>
  <c r="D50" i="50"/>
  <c r="E44" i="55"/>
  <c r="E45" i="55"/>
  <c r="E46" i="55"/>
  <c r="E59" i="51"/>
  <c r="E43" i="55"/>
  <c r="E47" i="55"/>
  <c r="AP25" i="47"/>
  <c r="AU25" i="47"/>
  <c r="AP24" i="47"/>
  <c r="AU24" i="47"/>
  <c r="AP23" i="47"/>
  <c r="AU23" i="47"/>
  <c r="AP26" i="47"/>
  <c r="AO23" i="47"/>
  <c r="AO24" i="47"/>
  <c r="AO25" i="47"/>
  <c r="M25" i="46"/>
  <c r="G22" i="50"/>
  <c r="Q25" i="46"/>
  <c r="O22" i="50"/>
  <c r="V33" i="46"/>
  <c r="H9" i="47"/>
  <c r="AO35" i="47"/>
  <c r="AO34" i="47"/>
  <c r="X3" i="50"/>
  <c r="Z3" i="50"/>
  <c r="C5" i="53"/>
  <c r="T3" i="47"/>
  <c r="U3" i="47"/>
  <c r="BG11" i="47"/>
  <c r="BG20" i="47"/>
  <c r="BB2" i="47"/>
  <c r="BG19" i="47"/>
  <c r="BM19" i="47"/>
  <c r="BG10" i="47"/>
  <c r="BM10" i="47"/>
  <c r="BO28" i="47"/>
  <c r="BG1" i="47"/>
  <c r="BM1" i="47"/>
  <c r="BF11" i="47"/>
  <c r="BF20" i="47"/>
  <c r="BF12" i="47"/>
  <c r="BF21" i="47"/>
  <c r="BF13" i="47"/>
  <c r="BF22" i="47"/>
  <c r="BF14" i="47"/>
  <c r="BF23" i="47"/>
  <c r="BF15" i="47"/>
  <c r="BF24" i="47"/>
  <c r="BI15" i="47"/>
  <c r="BI24" i="47"/>
  <c r="BF16" i="47"/>
  <c r="BF25" i="47"/>
  <c r="BI16" i="47"/>
  <c r="BI25" i="47"/>
  <c r="BF17" i="47"/>
  <c r="BF26" i="47"/>
  <c r="BE12" i="47"/>
  <c r="BE21" i="47"/>
  <c r="BE13" i="47"/>
  <c r="BE22" i="47"/>
  <c r="BE14" i="47"/>
  <c r="BE23" i="47"/>
  <c r="BE15" i="47"/>
  <c r="BE24" i="47"/>
  <c r="BE16" i="47"/>
  <c r="BE25" i="47"/>
  <c r="BE17" i="47"/>
  <c r="BE26" i="47"/>
  <c r="BE11" i="47"/>
  <c r="BE20" i="47"/>
  <c r="BB11" i="47"/>
  <c r="C44" i="47"/>
  <c r="D43" i="47"/>
  <c r="C64" i="47"/>
  <c r="D63" i="47"/>
  <c r="C4" i="47"/>
  <c r="D3" i="47"/>
  <c r="C5" i="47"/>
  <c r="D4" i="47"/>
  <c r="C6" i="47"/>
  <c r="D5" i="47"/>
  <c r="C7" i="47"/>
  <c r="D6" i="47"/>
  <c r="C8" i="47"/>
  <c r="D7" i="47"/>
  <c r="C9" i="47"/>
  <c r="D8" i="47"/>
  <c r="C10" i="47"/>
  <c r="D9" i="47"/>
  <c r="C11" i="47"/>
  <c r="D10" i="47"/>
  <c r="C12" i="47"/>
  <c r="D11" i="47"/>
  <c r="C13" i="47"/>
  <c r="D12" i="47"/>
  <c r="C14" i="47"/>
  <c r="D13" i="47"/>
  <c r="C15" i="47"/>
  <c r="D14" i="47"/>
  <c r="C16" i="47"/>
  <c r="D15" i="47"/>
  <c r="C17" i="47"/>
  <c r="D16" i="47"/>
  <c r="C18" i="47"/>
  <c r="D17" i="47"/>
  <c r="C19" i="47"/>
  <c r="D18" i="47"/>
  <c r="C20" i="47"/>
  <c r="D19" i="47"/>
  <c r="C21" i="47"/>
  <c r="D20" i="47"/>
  <c r="C22" i="47"/>
  <c r="D21" i="47"/>
  <c r="C23" i="47"/>
  <c r="C24" i="47"/>
  <c r="D23" i="47"/>
  <c r="C25" i="47"/>
  <c r="D24" i="47"/>
  <c r="C26" i="47"/>
  <c r="D25" i="47"/>
  <c r="C27" i="47"/>
  <c r="D26" i="47"/>
  <c r="C28" i="47"/>
  <c r="D27" i="47"/>
  <c r="C29" i="47"/>
  <c r="D28" i="47"/>
  <c r="C30" i="47"/>
  <c r="D29" i="47"/>
  <c r="C31" i="47"/>
  <c r="D30" i="47"/>
  <c r="C32" i="47"/>
  <c r="D31" i="47"/>
  <c r="C33" i="47"/>
  <c r="D32" i="47"/>
  <c r="C34" i="47"/>
  <c r="D33" i="47"/>
  <c r="C35" i="47"/>
  <c r="D34" i="47"/>
  <c r="C36" i="47"/>
  <c r="D35" i="47"/>
  <c r="C37" i="47"/>
  <c r="D36" i="47"/>
  <c r="C38" i="47"/>
  <c r="D37" i="47"/>
  <c r="C39" i="47"/>
  <c r="D38" i="47"/>
  <c r="C40" i="47"/>
  <c r="D39" i="47"/>
  <c r="C41" i="47"/>
  <c r="D40" i="47"/>
  <c r="C42" i="47"/>
  <c r="D41" i="47"/>
  <c r="C43" i="47"/>
  <c r="D42" i="47"/>
  <c r="C45" i="47"/>
  <c r="D44" i="47"/>
  <c r="C46" i="47"/>
  <c r="D45" i="47"/>
  <c r="C47" i="47"/>
  <c r="D46" i="47"/>
  <c r="C48" i="47"/>
  <c r="D47" i="47"/>
  <c r="C49" i="47"/>
  <c r="D48" i="47"/>
  <c r="C50" i="47"/>
  <c r="D49" i="47"/>
  <c r="C51" i="47"/>
  <c r="D50" i="47"/>
  <c r="C52" i="47"/>
  <c r="D51" i="47"/>
  <c r="C53" i="47"/>
  <c r="D52" i="47"/>
  <c r="C54" i="47"/>
  <c r="D53" i="47"/>
  <c r="C55" i="47"/>
  <c r="D54" i="47"/>
  <c r="C56" i="47"/>
  <c r="D55" i="47"/>
  <c r="C57" i="47"/>
  <c r="D56" i="47"/>
  <c r="C58" i="47"/>
  <c r="D57" i="47"/>
  <c r="C59" i="47"/>
  <c r="D58" i="47"/>
  <c r="C60" i="47"/>
  <c r="D59" i="47"/>
  <c r="C61" i="47"/>
  <c r="D60" i="47"/>
  <c r="C62" i="47"/>
  <c r="D61" i="47"/>
  <c r="C63" i="47"/>
  <c r="D62" i="47"/>
  <c r="C65" i="47"/>
  <c r="D64" i="47"/>
  <c r="C66" i="47"/>
  <c r="D65" i="47"/>
  <c r="C67" i="47"/>
  <c r="D66" i="47"/>
  <c r="C68" i="47"/>
  <c r="D67" i="47"/>
  <c r="C69" i="47"/>
  <c r="D68" i="47"/>
  <c r="C70" i="47"/>
  <c r="D69" i="47"/>
  <c r="C71" i="47"/>
  <c r="D70" i="47"/>
  <c r="C72" i="47"/>
  <c r="D71" i="47"/>
  <c r="C73" i="47"/>
  <c r="D72" i="47"/>
  <c r="C74" i="47"/>
  <c r="D73" i="47"/>
  <c r="C75" i="47"/>
  <c r="D74" i="47"/>
  <c r="C76" i="47"/>
  <c r="D75" i="47"/>
  <c r="C77" i="47"/>
  <c r="D76" i="47"/>
  <c r="C78" i="47"/>
  <c r="D77" i="47"/>
  <c r="C79" i="47"/>
  <c r="D78" i="47"/>
  <c r="C80" i="47"/>
  <c r="D79" i="47"/>
  <c r="C81" i="47"/>
  <c r="D80" i="47"/>
  <c r="C82" i="47"/>
  <c r="D81" i="47"/>
  <c r="C83" i="47"/>
  <c r="D82" i="47"/>
  <c r="C84" i="47"/>
  <c r="D83" i="47"/>
  <c r="X3" i="47"/>
  <c r="AB7" i="56"/>
  <c r="G5" i="49"/>
  <c r="G6" i="49"/>
  <c r="G8" i="56"/>
  <c r="I5" i="49"/>
  <c r="I7" i="56"/>
  <c r="J5" i="49"/>
  <c r="K5" i="49"/>
  <c r="K6" i="49"/>
  <c r="L5" i="49"/>
  <c r="L6" i="49"/>
  <c r="L8" i="56"/>
  <c r="M5" i="49"/>
  <c r="M6" i="49"/>
  <c r="M7" i="49"/>
  <c r="N5" i="49"/>
  <c r="N6" i="49"/>
  <c r="N7" i="49"/>
  <c r="O5" i="49"/>
  <c r="O7" i="56"/>
  <c r="X4" i="47"/>
  <c r="AB8" i="56"/>
  <c r="Y4" i="47"/>
  <c r="H6" i="49"/>
  <c r="H8" i="56"/>
  <c r="I6" i="49"/>
  <c r="I8" i="56"/>
  <c r="O6" i="49"/>
  <c r="O8" i="56"/>
  <c r="X5" i="47"/>
  <c r="AB9" i="56"/>
  <c r="Y5" i="47"/>
  <c r="H7" i="49"/>
  <c r="H9" i="56"/>
  <c r="I7" i="49"/>
  <c r="I9" i="56"/>
  <c r="O7" i="49"/>
  <c r="O9" i="56"/>
  <c r="X6" i="47"/>
  <c r="AB8" i="49"/>
  <c r="Y6" i="47"/>
  <c r="H8" i="49"/>
  <c r="H10" i="56"/>
  <c r="I8" i="49"/>
  <c r="I10" i="56"/>
  <c r="O8" i="49"/>
  <c r="O10" i="56"/>
  <c r="X7" i="47"/>
  <c r="Y7" i="47"/>
  <c r="H9" i="49"/>
  <c r="H11" i="56"/>
  <c r="I9" i="49"/>
  <c r="I11" i="56"/>
  <c r="O9" i="49"/>
  <c r="O11" i="56"/>
  <c r="X8" i="47"/>
  <c r="AB10" i="49"/>
  <c r="Y8" i="47"/>
  <c r="H10" i="49"/>
  <c r="H12" i="56"/>
  <c r="I10" i="49"/>
  <c r="I12" i="56"/>
  <c r="O10" i="49"/>
  <c r="O12" i="56"/>
  <c r="X9" i="47"/>
  <c r="AB11" i="49"/>
  <c r="Y9" i="47"/>
  <c r="H11" i="49"/>
  <c r="H13" i="56"/>
  <c r="I11" i="49"/>
  <c r="I13" i="56"/>
  <c r="O11" i="49"/>
  <c r="O13" i="56"/>
  <c r="X10" i="47"/>
  <c r="AB14" i="56"/>
  <c r="Y10" i="47"/>
  <c r="H12" i="49"/>
  <c r="H14" i="56"/>
  <c r="I12" i="49"/>
  <c r="I14" i="56"/>
  <c r="O12" i="49"/>
  <c r="O14" i="56"/>
  <c r="X11" i="47"/>
  <c r="AB15" i="56"/>
  <c r="Y11" i="47"/>
  <c r="H13" i="49"/>
  <c r="H15" i="56"/>
  <c r="I13" i="49"/>
  <c r="I15" i="56"/>
  <c r="O13" i="49"/>
  <c r="O15" i="56"/>
  <c r="X12" i="47"/>
  <c r="AB14" i="49"/>
  <c r="Y12" i="47"/>
  <c r="H14" i="49"/>
  <c r="H16" i="56"/>
  <c r="I14" i="49"/>
  <c r="I16" i="56"/>
  <c r="O14" i="49"/>
  <c r="O16" i="56"/>
  <c r="X13" i="47"/>
  <c r="AB17" i="56"/>
  <c r="Y13" i="47"/>
  <c r="H15" i="49"/>
  <c r="H17" i="56"/>
  <c r="I15" i="49"/>
  <c r="I17" i="56"/>
  <c r="O15" i="49"/>
  <c r="O17" i="56"/>
  <c r="X14" i="47"/>
  <c r="AB18" i="56"/>
  <c r="Y14" i="47"/>
  <c r="H16" i="49"/>
  <c r="H18" i="56"/>
  <c r="I16" i="49"/>
  <c r="I18" i="56"/>
  <c r="O16" i="49"/>
  <c r="O18" i="56"/>
  <c r="B5" i="49"/>
  <c r="H15" i="51"/>
  <c r="AB46" i="47"/>
  <c r="P21" i="49"/>
  <c r="P22" i="49"/>
  <c r="P23" i="49"/>
  <c r="P24" i="49"/>
  <c r="C19" i="50"/>
  <c r="X17" i="50"/>
  <c r="X18" i="50"/>
  <c r="R5" i="49"/>
  <c r="R7" i="56"/>
  <c r="S5" i="49"/>
  <c r="S7" i="56"/>
  <c r="W5" i="49"/>
  <c r="W7" i="56"/>
  <c r="AP7" i="47"/>
  <c r="AR7" i="47"/>
  <c r="AS7" i="47"/>
  <c r="AT7" i="47"/>
  <c r="AU7" i="47"/>
  <c r="AP8" i="47"/>
  <c r="AR8" i="47"/>
  <c r="AS8" i="47"/>
  <c r="AT8" i="47"/>
  <c r="AU8" i="47"/>
  <c r="AP9" i="47"/>
  <c r="AR9" i="47"/>
  <c r="AS9" i="47"/>
  <c r="AT9" i="47"/>
  <c r="AU9" i="47"/>
  <c r="AP10" i="47"/>
  <c r="AR10" i="47"/>
  <c r="AS10" i="47"/>
  <c r="AT10" i="47"/>
  <c r="AU10" i="47"/>
  <c r="AP11" i="47"/>
  <c r="AR11" i="47"/>
  <c r="AS11" i="47"/>
  <c r="AT11" i="47"/>
  <c r="AU11" i="47"/>
  <c r="AP12" i="47"/>
  <c r="AR12" i="47"/>
  <c r="AS12" i="47"/>
  <c r="AT12" i="47"/>
  <c r="AU12" i="47"/>
  <c r="AP13" i="47"/>
  <c r="AR13" i="47"/>
  <c r="AS13" i="47"/>
  <c r="AT13" i="47"/>
  <c r="AU13" i="47"/>
  <c r="AP14" i="47"/>
  <c r="AR14" i="47"/>
  <c r="AS14" i="47"/>
  <c r="AT14" i="47"/>
  <c r="AU14" i="47"/>
  <c r="AP15" i="47"/>
  <c r="AR15" i="47"/>
  <c r="AS15" i="47"/>
  <c r="AT15" i="47"/>
  <c r="AU15" i="47"/>
  <c r="V5" i="49"/>
  <c r="V7" i="56"/>
  <c r="V14" i="49"/>
  <c r="V16" i="56"/>
  <c r="AP22" i="47"/>
  <c r="AU22" i="47"/>
  <c r="AP27" i="47"/>
  <c r="AU27" i="47"/>
  <c r="AP28" i="47"/>
  <c r="AU28" i="47"/>
  <c r="AP29" i="47"/>
  <c r="AU29" i="47"/>
  <c r="U5" i="49"/>
  <c r="U6" i="49"/>
  <c r="T5" i="49"/>
  <c r="AA8" i="46"/>
  <c r="AA9" i="46"/>
  <c r="AA10" i="46"/>
  <c r="AA11" i="46"/>
  <c r="AA12" i="46"/>
  <c r="AA7" i="46"/>
  <c r="AA21" i="46"/>
  <c r="M3" i="47"/>
  <c r="E66" i="51"/>
  <c r="D52" i="50"/>
  <c r="AO27" i="47"/>
  <c r="C16" i="53"/>
  <c r="C2" i="49"/>
  <c r="C4" i="50"/>
  <c r="H5" i="58"/>
  <c r="F14" i="55"/>
  <c r="H36" i="46"/>
  <c r="H47" i="52"/>
  <c r="E24" i="53"/>
  <c r="C14" i="53"/>
  <c r="C15" i="53"/>
  <c r="C19" i="53"/>
  <c r="C18" i="53"/>
  <c r="C17" i="53"/>
  <c r="M4" i="47"/>
  <c r="W44" i="47"/>
  <c r="T41" i="47"/>
  <c r="T42" i="47"/>
  <c r="T46" i="47"/>
  <c r="W3" i="50"/>
  <c r="D9" i="50"/>
  <c r="D10" i="50"/>
  <c r="C3" i="49"/>
  <c r="C5" i="50"/>
  <c r="H6" i="58"/>
  <c r="H48" i="47"/>
  <c r="H49" i="47"/>
  <c r="H50" i="47"/>
  <c r="H51" i="47"/>
  <c r="H52" i="47"/>
  <c r="H53" i="47"/>
  <c r="H54" i="47"/>
  <c r="H55" i="47"/>
  <c r="H56" i="47"/>
  <c r="H57" i="47"/>
  <c r="H47" i="47"/>
  <c r="AD4" i="47"/>
  <c r="D31" i="50"/>
  <c r="E43" i="51"/>
  <c r="M41" i="47"/>
  <c r="C15" i="55"/>
  <c r="D47" i="50"/>
  <c r="C56" i="55"/>
  <c r="F59" i="55"/>
  <c r="D59" i="55"/>
  <c r="D57" i="55"/>
  <c r="E54" i="55"/>
  <c r="E53" i="55"/>
  <c r="E50" i="55"/>
  <c r="E51" i="55"/>
  <c r="E52" i="55"/>
  <c r="D29" i="50"/>
  <c r="AO4" i="47"/>
  <c r="E31" i="55"/>
  <c r="E33" i="55"/>
  <c r="E34" i="55"/>
  <c r="E35" i="55"/>
  <c r="E36" i="55"/>
  <c r="E37" i="55"/>
  <c r="E38" i="55"/>
  <c r="D38" i="50"/>
  <c r="E39" i="55"/>
  <c r="D39" i="50"/>
  <c r="AO14" i="47"/>
  <c r="D40" i="50"/>
  <c r="AO15" i="47"/>
  <c r="F16" i="55"/>
  <c r="B7" i="55"/>
  <c r="B6" i="55"/>
  <c r="B5" i="55"/>
  <c r="D58" i="55"/>
  <c r="AA2" i="49"/>
  <c r="S4" i="50"/>
  <c r="C24" i="53"/>
  <c r="C13" i="53"/>
  <c r="E11" i="53"/>
  <c r="C28" i="53"/>
  <c r="I21" i="51"/>
  <c r="I22" i="51"/>
  <c r="D42" i="52"/>
  <c r="B8" i="51"/>
  <c r="H45" i="52"/>
  <c r="H46" i="52"/>
  <c r="B7" i="51"/>
  <c r="H44" i="52"/>
  <c r="B6" i="51"/>
  <c r="H43" i="52"/>
  <c r="G9" i="51"/>
  <c r="G8" i="51"/>
  <c r="G7" i="51"/>
  <c r="G6" i="51"/>
  <c r="I11" i="51"/>
  <c r="G11" i="51"/>
  <c r="E11" i="51"/>
  <c r="B11" i="51"/>
  <c r="C7" i="52"/>
  <c r="E68" i="51"/>
  <c r="E67" i="51"/>
  <c r="E57" i="51"/>
  <c r="E55" i="51"/>
  <c r="E54" i="51"/>
  <c r="E44" i="51"/>
  <c r="E45" i="51"/>
  <c r="E46" i="51"/>
  <c r="E47" i="51"/>
  <c r="E48" i="51"/>
  <c r="E49" i="51"/>
  <c r="E42" i="51"/>
  <c r="D34" i="51"/>
  <c r="C31" i="52"/>
  <c r="D43" i="52"/>
  <c r="AA19" i="46"/>
  <c r="V19" i="46"/>
  <c r="G26" i="46"/>
  <c r="S6" i="50"/>
  <c r="AA3" i="49"/>
  <c r="H7" i="58"/>
  <c r="S3" i="49"/>
  <c r="J6" i="50"/>
  <c r="S2" i="49"/>
  <c r="J5" i="50"/>
  <c r="M3" i="49"/>
  <c r="J4" i="50"/>
  <c r="M2" i="49"/>
  <c r="C6" i="50"/>
  <c r="S56" i="50"/>
  <c r="V42" i="50"/>
  <c r="V45" i="50"/>
  <c r="V44" i="50"/>
  <c r="V43" i="50"/>
  <c r="Y3" i="46"/>
  <c r="Y4" i="46"/>
  <c r="Y5" i="46"/>
  <c r="Y19" i="46"/>
  <c r="Y18" i="46"/>
  <c r="Y15" i="46"/>
  <c r="AO32" i="47"/>
  <c r="AO36" i="47"/>
  <c r="AO33" i="47"/>
  <c r="AO22" i="47"/>
  <c r="AO30" i="47"/>
  <c r="AO28" i="47"/>
  <c r="AO29" i="47"/>
  <c r="AO21" i="47"/>
  <c r="AO19" i="47"/>
  <c r="AO17" i="47"/>
  <c r="AO5" i="47"/>
  <c r="AO7" i="47"/>
  <c r="AO8" i="47"/>
  <c r="AO9" i="47"/>
  <c r="AO10" i="47"/>
  <c r="AO11" i="47"/>
  <c r="AO12" i="47"/>
  <c r="AB42" i="47"/>
  <c r="W42" i="47"/>
  <c r="AB41" i="47"/>
  <c r="W41" i="47"/>
  <c r="AB38" i="47"/>
  <c r="AB37" i="47"/>
  <c r="AB36" i="47"/>
  <c r="AB35" i="47"/>
  <c r="AB34" i="47"/>
  <c r="AB33" i="47"/>
  <c r="AB32" i="47"/>
  <c r="AB31" i="47"/>
  <c r="AB30" i="47"/>
  <c r="AB29" i="47"/>
  <c r="AB43" i="47"/>
  <c r="W43" i="47"/>
  <c r="AB28" i="47"/>
  <c r="AB27" i="47"/>
  <c r="AB26" i="47"/>
  <c r="AB25" i="47"/>
  <c r="AB24" i="47"/>
  <c r="AB23" i="47"/>
  <c r="AB22" i="47"/>
  <c r="AB21" i="47"/>
  <c r="AB20" i="47"/>
  <c r="AB19" i="47"/>
  <c r="AB18" i="47"/>
  <c r="AB17" i="47"/>
  <c r="AB16" i="47"/>
  <c r="AB15" i="47"/>
  <c r="AB14" i="47"/>
  <c r="AB13" i="47"/>
  <c r="AB12" i="47"/>
  <c r="AB11" i="47"/>
  <c r="AB10" i="47"/>
  <c r="X6" i="49"/>
  <c r="X8" i="56"/>
  <c r="X5" i="49"/>
  <c r="X7" i="56"/>
  <c r="X7" i="49"/>
  <c r="X9" i="56"/>
  <c r="X8" i="49"/>
  <c r="X10" i="56"/>
  <c r="X9" i="49"/>
  <c r="X11" i="56"/>
  <c r="X10" i="49"/>
  <c r="X12" i="56"/>
  <c r="X11" i="49"/>
  <c r="X13" i="56"/>
  <c r="X12" i="49"/>
  <c r="X14" i="56"/>
  <c r="X13" i="49"/>
  <c r="X15" i="56"/>
  <c r="X14" i="49"/>
  <c r="X16" i="56"/>
  <c r="X15" i="49"/>
  <c r="X17" i="56"/>
  <c r="X16" i="49"/>
  <c r="X18" i="56"/>
  <c r="G12" i="47"/>
  <c r="M5" i="47"/>
  <c r="M6" i="47"/>
  <c r="P6" i="47"/>
  <c r="M7" i="47"/>
  <c r="P7" i="47"/>
  <c r="M8" i="47"/>
  <c r="H12" i="47"/>
  <c r="G5" i="47"/>
  <c r="Z7" i="46"/>
  <c r="BI33" i="47"/>
  <c r="T44" i="47"/>
  <c r="T45" i="47"/>
  <c r="AP36" i="57"/>
  <c r="AW36" i="57"/>
  <c r="AP18" i="57"/>
  <c r="AX18" i="57"/>
  <c r="AW18" i="57"/>
  <c r="AN39" i="57"/>
  <c r="AU39" i="57"/>
  <c r="AO31" i="57"/>
  <c r="AV31" i="57"/>
  <c r="AN20" i="57"/>
  <c r="AV20" i="57"/>
  <c r="AU20" i="57"/>
  <c r="AP34" i="57"/>
  <c r="AX34" i="57"/>
  <c r="AO12" i="57"/>
  <c r="AV12" i="57"/>
  <c r="AO40" i="57"/>
  <c r="AP33" i="57"/>
  <c r="AX33" i="57"/>
  <c r="AW33" i="57"/>
  <c r="AO14" i="57"/>
  <c r="AW14" i="57"/>
  <c r="AO16" i="57"/>
  <c r="AP38" i="57"/>
  <c r="AX38" i="57"/>
  <c r="AW38" i="57"/>
  <c r="AW17" i="57"/>
  <c r="AP17" i="57"/>
  <c r="AX17" i="57"/>
  <c r="AP14" i="57"/>
  <c r="AX14" i="57"/>
  <c r="AU19" i="57"/>
  <c r="AN19" i="57"/>
  <c r="AO13" i="57"/>
  <c r="AW13" i="57"/>
  <c r="AV13" i="57"/>
  <c r="AP13" i="57"/>
  <c r="AX13" i="57"/>
  <c r="AO32" i="57"/>
  <c r="AO15" i="57"/>
  <c r="AP37" i="57"/>
  <c r="AX37" i="57"/>
  <c r="AO10" i="57"/>
  <c r="AV10" i="57"/>
  <c r="AO35" i="57"/>
  <c r="AW35" i="57"/>
  <c r="AP35" i="57"/>
  <c r="AX35" i="57"/>
  <c r="AF20" i="57"/>
  <c r="AG38" i="57"/>
  <c r="AH38" i="57"/>
  <c r="AG40" i="57"/>
  <c r="AH40" i="57"/>
  <c r="AG19" i="57"/>
  <c r="AH19" i="57"/>
  <c r="H13" i="57"/>
  <c r="G14" i="57"/>
  <c r="I74" i="58"/>
  <c r="G10" i="57"/>
  <c r="I70" i="58"/>
  <c r="N8" i="57"/>
  <c r="J12" i="58"/>
  <c r="H11" i="57"/>
  <c r="J68" i="58"/>
  <c r="I8" i="57"/>
  <c r="K68" i="58"/>
  <c r="G15" i="57"/>
  <c r="I75" i="58"/>
  <c r="I67" i="58"/>
  <c r="J69" i="58"/>
  <c r="I9" i="57"/>
  <c r="K69" i="58"/>
  <c r="H7" i="57"/>
  <c r="BS22" i="47"/>
  <c r="Q26" i="46"/>
  <c r="Q28" i="46"/>
  <c r="D22" i="47"/>
  <c r="T47" i="47"/>
  <c r="AO20" i="57"/>
  <c r="AW20" i="57"/>
  <c r="AP10" i="57"/>
  <c r="AW10" i="57"/>
  <c r="AP31" i="57"/>
  <c r="AW31" i="57"/>
  <c r="AP32" i="57"/>
  <c r="AW32" i="57"/>
  <c r="AP12" i="57"/>
  <c r="AX12" i="57"/>
  <c r="AW12" i="57"/>
  <c r="AW15" i="57"/>
  <c r="AP15" i="57"/>
  <c r="AW40" i="57"/>
  <c r="AP40" i="57"/>
  <c r="AX40" i="57"/>
  <c r="AP16" i="57"/>
  <c r="AW16" i="57"/>
  <c r="AV39" i="57"/>
  <c r="AO39" i="57"/>
  <c r="AW39" i="57"/>
  <c r="AV19" i="57"/>
  <c r="AO19" i="57"/>
  <c r="G16" i="57"/>
  <c r="I76" i="58"/>
  <c r="AX36" i="57"/>
  <c r="AG20" i="57"/>
  <c r="AH20" i="57"/>
  <c r="H17" i="57"/>
  <c r="J77" i="58"/>
  <c r="J73" i="58"/>
  <c r="G17" i="57"/>
  <c r="G18" i="57"/>
  <c r="I78" i="58"/>
  <c r="H18" i="57"/>
  <c r="G13" i="57"/>
  <c r="I73" i="58"/>
  <c r="I7" i="57"/>
  <c r="J67" i="58"/>
  <c r="J71" i="58"/>
  <c r="H14" i="57"/>
  <c r="T48" i="47"/>
  <c r="AP20" i="57"/>
  <c r="AP39" i="57"/>
  <c r="AX32" i="57"/>
  <c r="G12" i="57"/>
  <c r="I72" i="58"/>
  <c r="H12" i="57"/>
  <c r="AX16" i="57"/>
  <c r="H16" i="57"/>
  <c r="AP19" i="57"/>
  <c r="AX19" i="57"/>
  <c r="AW19" i="57"/>
  <c r="AX31" i="57"/>
  <c r="G11" i="57"/>
  <c r="AX15" i="57"/>
  <c r="H15" i="57"/>
  <c r="G20" i="57"/>
  <c r="I80" i="58"/>
  <c r="AX10" i="57"/>
  <c r="H10" i="57"/>
  <c r="H19" i="57"/>
  <c r="J78" i="58"/>
  <c r="I18" i="57"/>
  <c r="K78" i="58"/>
  <c r="J72" i="58"/>
  <c r="I12" i="57"/>
  <c r="K72" i="58"/>
  <c r="I77" i="58"/>
  <c r="I17" i="57"/>
  <c r="K77" i="58"/>
  <c r="K67" i="58"/>
  <c r="J74" i="58"/>
  <c r="I14" i="57"/>
  <c r="K74" i="58"/>
  <c r="I13" i="57"/>
  <c r="K73" i="58"/>
  <c r="AX20" i="57"/>
  <c r="H20" i="57"/>
  <c r="J80" i="58"/>
  <c r="G19" i="57"/>
  <c r="I19" i="57"/>
  <c r="K79" i="58"/>
  <c r="AX39" i="57"/>
  <c r="I79" i="58"/>
  <c r="J76" i="58"/>
  <c r="I16" i="57"/>
  <c r="K76" i="58"/>
  <c r="I15" i="57"/>
  <c r="K75" i="58"/>
  <c r="J75" i="58"/>
  <c r="I20" i="57"/>
  <c r="K80" i="58"/>
  <c r="J70" i="58"/>
  <c r="I10" i="57"/>
  <c r="K70" i="58"/>
  <c r="G23" i="57"/>
  <c r="I71" i="58"/>
  <c r="I82" i="58"/>
  <c r="I11" i="57"/>
  <c r="K71" i="58"/>
  <c r="H23" i="57"/>
  <c r="J79" i="58"/>
  <c r="K82" i="58"/>
  <c r="I23" i="57"/>
  <c r="K56" i="58"/>
  <c r="J82" i="58"/>
  <c r="G25" i="57"/>
  <c r="N13" i="57"/>
  <c r="V13" i="56"/>
  <c r="T54" i="47"/>
  <c r="AB20" i="56"/>
  <c r="AB18" i="49"/>
  <c r="T53" i="47"/>
  <c r="AC20" i="56"/>
  <c r="T52" i="47"/>
  <c r="J72" i="50"/>
  <c r="J9" i="52"/>
  <c r="Y16" i="49"/>
  <c r="Y18" i="56"/>
  <c r="P30" i="47"/>
  <c r="P26" i="56"/>
  <c r="P24" i="56"/>
  <c r="P23" i="56"/>
  <c r="P22" i="56"/>
  <c r="P27" i="56"/>
  <c r="Z3" i="47"/>
  <c r="T4" i="47"/>
  <c r="U4" i="47"/>
  <c r="V4" i="47"/>
  <c r="AB7" i="46"/>
  <c r="AI2" i="47"/>
  <c r="N28" i="47"/>
  <c r="Z4" i="47"/>
  <c r="B6" i="49"/>
  <c r="D20" i="52"/>
  <c r="E19" i="52"/>
  <c r="AD6" i="47"/>
  <c r="AA24" i="49"/>
  <c r="V28" i="56"/>
  <c r="N38" i="47"/>
  <c r="O28" i="56"/>
  <c r="X28" i="56"/>
  <c r="V26" i="49"/>
  <c r="V27" i="49"/>
  <c r="AP21" i="47"/>
  <c r="AU21" i="47"/>
  <c r="O26" i="49"/>
  <c r="O27" i="49"/>
  <c r="X26" i="49"/>
  <c r="X27" i="49"/>
  <c r="L7" i="56"/>
  <c r="B8" i="56"/>
  <c r="Z21" i="56"/>
  <c r="Z19" i="56"/>
  <c r="Z22" i="56"/>
  <c r="AA22" i="56"/>
  <c r="Z23" i="56"/>
  <c r="AA23" i="56"/>
  <c r="Z25" i="56"/>
  <c r="Z24" i="56"/>
  <c r="Z26" i="56"/>
  <c r="P25" i="56"/>
  <c r="Z27" i="56"/>
  <c r="AA21" i="56"/>
  <c r="AO3" i="47"/>
  <c r="E40" i="51"/>
  <c r="V18" i="50"/>
  <c r="P39" i="47"/>
  <c r="AE2" i="47"/>
  <c r="Q42" i="47"/>
  <c r="P18" i="47"/>
  <c r="P20" i="47"/>
  <c r="P41" i="47"/>
  <c r="P28" i="47"/>
  <c r="P29" i="47"/>
  <c r="P8" i="47"/>
  <c r="P27" i="47"/>
  <c r="K13" i="47"/>
  <c r="O30" i="47"/>
  <c r="E40" i="55"/>
  <c r="R6" i="49"/>
  <c r="P17" i="47"/>
  <c r="P9" i="47"/>
  <c r="AB13" i="49"/>
  <c r="E30" i="55"/>
  <c r="AB15" i="49"/>
  <c r="E49" i="55"/>
  <c r="N7" i="56"/>
  <c r="E65" i="51"/>
  <c r="D19" i="52"/>
  <c r="AO13" i="47"/>
  <c r="K7" i="56"/>
  <c r="D35" i="51"/>
  <c r="P25" i="47"/>
  <c r="P16" i="47"/>
  <c r="P34" i="47"/>
  <c r="X19" i="50"/>
  <c r="S19" i="50"/>
  <c r="H35" i="51"/>
  <c r="I35" i="51"/>
  <c r="W6" i="49"/>
  <c r="U51" i="47"/>
  <c r="M7" i="56"/>
  <c r="N34" i="47"/>
  <c r="R41" i="47"/>
  <c r="AB16" i="56"/>
  <c r="S25" i="50"/>
  <c r="H36" i="51"/>
  <c r="I36" i="51"/>
  <c r="M28" i="46"/>
  <c r="O25" i="50"/>
  <c r="G25" i="50"/>
  <c r="D36" i="51"/>
  <c r="N8" i="49"/>
  <c r="N10" i="56"/>
  <c r="N9" i="56"/>
  <c r="B9" i="56"/>
  <c r="T5" i="47"/>
  <c r="U5" i="47"/>
  <c r="V5" i="47"/>
  <c r="W5" i="47"/>
  <c r="B7" i="49"/>
  <c r="D21" i="52"/>
  <c r="E20" i="52"/>
  <c r="P13" i="47"/>
  <c r="P24" i="47"/>
  <c r="N35" i="47"/>
  <c r="O23" i="50"/>
  <c r="P26" i="47"/>
  <c r="Q41" i="47"/>
  <c r="P40" i="47"/>
  <c r="P19" i="47"/>
  <c r="N37" i="47"/>
  <c r="N29" i="47"/>
  <c r="Y43" i="47"/>
  <c r="AC43" i="47"/>
  <c r="Y46" i="47"/>
  <c r="AC46" i="47"/>
  <c r="AA23" i="49"/>
  <c r="P12" i="47"/>
  <c r="P10" i="47"/>
  <c r="P35" i="47"/>
  <c r="N27" i="47"/>
  <c r="U50" i="47"/>
  <c r="P37" i="47"/>
  <c r="P38" i="47"/>
  <c r="P11" i="47"/>
  <c r="N8" i="56"/>
  <c r="F9" i="50"/>
  <c r="F13" i="55"/>
  <c r="G13" i="55"/>
  <c r="B9" i="51"/>
  <c r="AA21" i="49"/>
  <c r="U7" i="56"/>
  <c r="AB16" i="49"/>
  <c r="P3" i="47"/>
  <c r="N18" i="47"/>
  <c r="AO6" i="47"/>
  <c r="E41" i="55"/>
  <c r="AA22" i="49"/>
  <c r="E32" i="55"/>
  <c r="G7" i="56"/>
  <c r="G7" i="49"/>
  <c r="G9" i="56"/>
  <c r="E52" i="51"/>
  <c r="AB12" i="49"/>
  <c r="V3" i="47"/>
  <c r="W3" i="47"/>
  <c r="L7" i="49"/>
  <c r="R42" i="47"/>
  <c r="S5" i="50"/>
  <c r="E51" i="51"/>
  <c r="E41" i="51"/>
  <c r="AA20" i="49"/>
  <c r="BS19" i="47"/>
  <c r="Y2" i="46"/>
  <c r="T2" i="46"/>
  <c r="I3" i="51"/>
  <c r="G13" i="52"/>
  <c r="O3" i="50"/>
  <c r="K8" i="56"/>
  <c r="K7" i="49"/>
  <c r="J6" i="49"/>
  <c r="J7" i="56"/>
  <c r="BR18" i="47"/>
  <c r="AB5" i="49"/>
  <c r="M8" i="56"/>
  <c r="P5" i="47"/>
  <c r="T7" i="56"/>
  <c r="T6" i="49"/>
  <c r="AB11" i="56"/>
  <c r="AB9" i="49"/>
  <c r="M8" i="49"/>
  <c r="M9" i="56"/>
  <c r="E50" i="51"/>
  <c r="K16" i="47"/>
  <c r="K3" i="47"/>
  <c r="O40" i="47"/>
  <c r="J19" i="50"/>
  <c r="K11" i="47"/>
  <c r="O32" i="47"/>
  <c r="R32" i="47"/>
  <c r="C8" i="49"/>
  <c r="P42" i="47"/>
  <c r="K12" i="47"/>
  <c r="O31" i="47"/>
  <c r="R31" i="47"/>
  <c r="C7" i="49"/>
  <c r="K14" i="47"/>
  <c r="O29" i="47"/>
  <c r="K15" i="47"/>
  <c r="O28" i="47"/>
  <c r="Z5" i="47"/>
  <c r="AA24" i="56"/>
  <c r="AA26" i="56"/>
  <c r="W4" i="47"/>
  <c r="AC6" i="49"/>
  <c r="AG40" i="47"/>
  <c r="AH40" i="47"/>
  <c r="AA25" i="56"/>
  <c r="N9" i="49"/>
  <c r="N10" i="49"/>
  <c r="J36" i="51"/>
  <c r="T25" i="50"/>
  <c r="X50" i="50"/>
  <c r="C23" i="50"/>
  <c r="W8" i="56"/>
  <c r="W7" i="49"/>
  <c r="T6" i="47"/>
  <c r="B10" i="56"/>
  <c r="B8" i="49"/>
  <c r="D22" i="52"/>
  <c r="E21" i="52"/>
  <c r="G8" i="49"/>
  <c r="G10" i="56"/>
  <c r="L8" i="49"/>
  <c r="L9" i="56"/>
  <c r="M33" i="46"/>
  <c r="U11" i="46"/>
  <c r="W7" i="46"/>
  <c r="U12" i="46"/>
  <c r="V12" i="46"/>
  <c r="V10" i="46"/>
  <c r="AY29" i="47"/>
  <c r="V7" i="46"/>
  <c r="V21" i="46"/>
  <c r="U7" i="46"/>
  <c r="W12" i="46"/>
  <c r="V9" i="46"/>
  <c r="D64" i="51"/>
  <c r="D48" i="55"/>
  <c r="BA29" i="47"/>
  <c r="W11" i="46"/>
  <c r="V8" i="46"/>
  <c r="V11" i="46"/>
  <c r="BB30" i="47"/>
  <c r="AU26" i="47"/>
  <c r="K4" i="47"/>
  <c r="K5" i="47"/>
  <c r="K9" i="56"/>
  <c r="K8" i="49"/>
  <c r="T8" i="56"/>
  <c r="T7" i="49"/>
  <c r="T9" i="56"/>
  <c r="J8" i="56"/>
  <c r="J7" i="49"/>
  <c r="O27" i="47"/>
  <c r="R27" i="47"/>
  <c r="M9" i="49"/>
  <c r="M10" i="56"/>
  <c r="U6" i="47"/>
  <c r="V6" i="47"/>
  <c r="W6" i="47"/>
  <c r="Z6" i="47"/>
  <c r="AC5" i="49"/>
  <c r="N11" i="56"/>
  <c r="W8" i="49"/>
  <c r="W9" i="56"/>
  <c r="C18" i="49"/>
  <c r="D18" i="49"/>
  <c r="Q18" i="49"/>
  <c r="Q20" i="56"/>
  <c r="Z20" i="56"/>
  <c r="B11" i="56"/>
  <c r="T7" i="47"/>
  <c r="Z7" i="47"/>
  <c r="B9" i="49"/>
  <c r="D23" i="52"/>
  <c r="E22" i="52"/>
  <c r="N12" i="56"/>
  <c r="N11" i="49"/>
  <c r="L10" i="56"/>
  <c r="L9" i="49"/>
  <c r="K9" i="49"/>
  <c r="K10" i="56"/>
  <c r="AO26" i="47"/>
  <c r="D51" i="50"/>
  <c r="E64" i="51"/>
  <c r="E48" i="55"/>
  <c r="J8" i="49"/>
  <c r="J9" i="56"/>
  <c r="M10" i="49"/>
  <c r="M11" i="56"/>
  <c r="T8" i="49"/>
  <c r="T10" i="56"/>
  <c r="AC8" i="49"/>
  <c r="W10" i="56"/>
  <c r="W9" i="49"/>
  <c r="U7" i="47"/>
  <c r="V7" i="47"/>
  <c r="T8" i="47"/>
  <c r="Z8" i="47"/>
  <c r="B12" i="56"/>
  <c r="B10" i="49"/>
  <c r="K17" i="49"/>
  <c r="K10" i="49"/>
  <c r="K11" i="49"/>
  <c r="K12" i="49"/>
  <c r="K13" i="49"/>
  <c r="K14" i="49"/>
  <c r="K15" i="49"/>
  <c r="K16" i="49"/>
  <c r="K26" i="49"/>
  <c r="K27" i="49"/>
  <c r="N12" i="49"/>
  <c r="N13" i="56"/>
  <c r="L10" i="49"/>
  <c r="L11" i="56"/>
  <c r="M12" i="56"/>
  <c r="M11" i="49"/>
  <c r="AC39" i="47"/>
  <c r="J10" i="56"/>
  <c r="J9" i="49"/>
  <c r="K11" i="56"/>
  <c r="W10" i="49"/>
  <c r="W11" i="56"/>
  <c r="T9" i="47"/>
  <c r="Z9" i="47"/>
  <c r="B11" i="49"/>
  <c r="D25" i="52"/>
  <c r="E24" i="52"/>
  <c r="B13" i="56"/>
  <c r="D24" i="52"/>
  <c r="E23" i="52"/>
  <c r="I17" i="49"/>
  <c r="I26" i="49"/>
  <c r="I27" i="49"/>
  <c r="H17" i="49"/>
  <c r="H26" i="49"/>
  <c r="H27" i="49"/>
  <c r="AB17" i="49"/>
  <c r="AB19" i="56"/>
  <c r="U8" i="47"/>
  <c r="W7" i="47"/>
  <c r="L11" i="49"/>
  <c r="L12" i="56"/>
  <c r="N13" i="49"/>
  <c r="N14" i="56"/>
  <c r="J11" i="56"/>
  <c r="J10" i="49"/>
  <c r="J17" i="49"/>
  <c r="J19" i="56"/>
  <c r="J12" i="56"/>
  <c r="J11" i="49"/>
  <c r="J13" i="56"/>
  <c r="J12" i="49"/>
  <c r="J14" i="56"/>
  <c r="J13" i="49"/>
  <c r="J15" i="56"/>
  <c r="J14" i="49"/>
  <c r="J16" i="56"/>
  <c r="J15" i="49"/>
  <c r="J17" i="56"/>
  <c r="J16" i="49"/>
  <c r="J18" i="56"/>
  <c r="J28" i="56"/>
  <c r="M13" i="56"/>
  <c r="M12" i="49"/>
  <c r="K12" i="56"/>
  <c r="R29" i="47"/>
  <c r="C5" i="49"/>
  <c r="D5" i="49"/>
  <c r="Q5" i="49"/>
  <c r="K7" i="47"/>
  <c r="O36" i="47"/>
  <c r="W11" i="49"/>
  <c r="W12" i="56"/>
  <c r="H19" i="56"/>
  <c r="H28" i="56"/>
  <c r="AC17" i="49"/>
  <c r="AC19" i="56"/>
  <c r="B14" i="56"/>
  <c r="B12" i="49"/>
  <c r="D26" i="52"/>
  <c r="E25" i="52"/>
  <c r="T10" i="47"/>
  <c r="Z10" i="47"/>
  <c r="V8" i="47"/>
  <c r="W8" i="47"/>
  <c r="U9" i="47"/>
  <c r="V9" i="47"/>
  <c r="N15" i="56"/>
  <c r="N14" i="49"/>
  <c r="L13" i="56"/>
  <c r="L12" i="49"/>
  <c r="K13" i="56"/>
  <c r="K8" i="47"/>
  <c r="O35" i="47"/>
  <c r="M13" i="49"/>
  <c r="M14" i="56"/>
  <c r="W12" i="49"/>
  <c r="W13" i="56"/>
  <c r="U10" i="47"/>
  <c r="W9" i="47"/>
  <c r="AC11" i="49"/>
  <c r="T11" i="47"/>
  <c r="Z11" i="47"/>
  <c r="B13" i="49"/>
  <c r="D27" i="52"/>
  <c r="E26" i="52"/>
  <c r="B15" i="56"/>
  <c r="L13" i="49"/>
  <c r="L14" i="56"/>
  <c r="N16" i="56"/>
  <c r="N15" i="49"/>
  <c r="K9" i="47"/>
  <c r="O34" i="47"/>
  <c r="Q34" i="47"/>
  <c r="K14" i="56"/>
  <c r="M15" i="56"/>
  <c r="M14" i="49"/>
  <c r="W13" i="49"/>
  <c r="W14" i="56"/>
  <c r="U11" i="47"/>
  <c r="V11" i="47"/>
  <c r="W11" i="47"/>
  <c r="AC13" i="56"/>
  <c r="T12" i="47"/>
  <c r="B14" i="49"/>
  <c r="D28" i="52"/>
  <c r="E27" i="52"/>
  <c r="B16" i="56"/>
  <c r="N17" i="56"/>
  <c r="N16" i="49"/>
  <c r="N26" i="49"/>
  <c r="L14" i="49"/>
  <c r="L15" i="56"/>
  <c r="K15" i="56"/>
  <c r="M15" i="49"/>
  <c r="M16" i="56"/>
  <c r="K10" i="47"/>
  <c r="O33" i="47"/>
  <c r="U12" i="47"/>
  <c r="V12" i="47"/>
  <c r="W12" i="47"/>
  <c r="Z12" i="47"/>
  <c r="W14" i="49"/>
  <c r="W15" i="56"/>
  <c r="B15" i="49"/>
  <c r="D29" i="52"/>
  <c r="E28" i="52"/>
  <c r="T13" i="47"/>
  <c r="B17" i="56"/>
  <c r="L15" i="49"/>
  <c r="L16" i="56"/>
  <c r="N18" i="56"/>
  <c r="N28" i="56"/>
  <c r="N27" i="49"/>
  <c r="M17" i="56"/>
  <c r="M16" i="49"/>
  <c r="M26" i="49"/>
  <c r="K16" i="56"/>
  <c r="U13" i="47"/>
  <c r="V13" i="47"/>
  <c r="W13" i="47"/>
  <c r="Z13" i="47"/>
  <c r="W16" i="56"/>
  <c r="W15" i="49"/>
  <c r="T14" i="47"/>
  <c r="B16" i="49"/>
  <c r="B18" i="56"/>
  <c r="L16" i="49"/>
  <c r="L26" i="49"/>
  <c r="L17" i="56"/>
  <c r="K17" i="56"/>
  <c r="M18" i="56"/>
  <c r="M28" i="56"/>
  <c r="M27" i="49"/>
  <c r="C17" i="49"/>
  <c r="C19" i="56"/>
  <c r="U14" i="47"/>
  <c r="V14" i="47"/>
  <c r="W14" i="47"/>
  <c r="Z14" i="47"/>
  <c r="W17" i="56"/>
  <c r="W16" i="49"/>
  <c r="W26" i="49"/>
  <c r="I15" i="51"/>
  <c r="D30" i="52"/>
  <c r="E29" i="52"/>
  <c r="E30" i="52"/>
  <c r="L18" i="56"/>
  <c r="L28" i="56"/>
  <c r="L27" i="49"/>
  <c r="K18" i="56"/>
  <c r="J26" i="49"/>
  <c r="J27" i="49"/>
  <c r="W18" i="56"/>
  <c r="W28" i="56"/>
  <c r="W27" i="49"/>
  <c r="AP6" i="47"/>
  <c r="AR6" i="47"/>
  <c r="AS6" i="47"/>
  <c r="AT6" i="47"/>
  <c r="AU6" i="47"/>
  <c r="F7" i="50"/>
  <c r="AV19" i="47"/>
  <c r="S43" i="50"/>
  <c r="Y15" i="49"/>
  <c r="Y17" i="56"/>
  <c r="Y14" i="49"/>
  <c r="Y13" i="49"/>
  <c r="Y15" i="56"/>
  <c r="Y6" i="49"/>
  <c r="Y8" i="56"/>
  <c r="Y11" i="49"/>
  <c r="F22" i="52"/>
  <c r="Y5" i="49"/>
  <c r="Y7" i="56"/>
  <c r="F21" i="52"/>
  <c r="Y9" i="49"/>
  <c r="Y11" i="56"/>
  <c r="F26" i="52"/>
  <c r="F24" i="52"/>
  <c r="F29" i="52"/>
  <c r="Y13" i="56"/>
  <c r="F25" i="52"/>
  <c r="F27" i="52"/>
  <c r="F28" i="52"/>
  <c r="Y16" i="56"/>
  <c r="Y8" i="49"/>
  <c r="F23" i="52"/>
  <c r="Y10" i="49"/>
  <c r="F20" i="52"/>
  <c r="T73" i="50"/>
  <c r="J11" i="52"/>
  <c r="S73" i="50"/>
  <c r="Y7" i="49"/>
  <c r="F19" i="52"/>
  <c r="Y12" i="49"/>
  <c r="Y14" i="56"/>
  <c r="Y10" i="56"/>
  <c r="Y12" i="56"/>
  <c r="AB12" i="56"/>
  <c r="AB6" i="49"/>
  <c r="G9" i="49"/>
  <c r="BS5" i="47"/>
  <c r="AB4" i="46"/>
  <c r="U8" i="56"/>
  <c r="U7" i="49"/>
  <c r="T9" i="49"/>
  <c r="R7" i="49"/>
  <c r="R8" i="56"/>
  <c r="S6" i="49"/>
  <c r="AB10" i="56"/>
  <c r="AB13" i="56"/>
  <c r="AB7" i="49"/>
  <c r="Q30" i="47"/>
  <c r="R30" i="47"/>
  <c r="C6" i="49"/>
  <c r="E6" i="49"/>
  <c r="E8" i="56"/>
  <c r="R36" i="47"/>
  <c r="C12" i="49"/>
  <c r="Q36" i="47"/>
  <c r="AI40" i="47"/>
  <c r="Q31" i="47"/>
  <c r="P33" i="47"/>
  <c r="P36" i="47"/>
  <c r="N23" i="47"/>
  <c r="E18" i="49"/>
  <c r="E20" i="56"/>
  <c r="Y26" i="49"/>
  <c r="Y27" i="49"/>
  <c r="AP33" i="47"/>
  <c r="AU38" i="47"/>
  <c r="I19" i="56"/>
  <c r="I28" i="56"/>
  <c r="AU33" i="47"/>
  <c r="E17" i="49"/>
  <c r="E19" i="56"/>
  <c r="K19" i="56"/>
  <c r="K28" i="56"/>
  <c r="D17" i="49"/>
  <c r="D19" i="56"/>
  <c r="P19" i="56"/>
  <c r="AA19" i="56"/>
  <c r="AD41" i="47"/>
  <c r="AE41" i="47"/>
  <c r="Q29" i="47"/>
  <c r="N7" i="47"/>
  <c r="N3" i="47"/>
  <c r="N14" i="47"/>
  <c r="N12" i="47"/>
  <c r="N4" i="47"/>
  <c r="N11" i="47"/>
  <c r="N13" i="47"/>
  <c r="N9" i="47"/>
  <c r="N6" i="47"/>
  <c r="N8" i="47"/>
  <c r="N10" i="47"/>
  <c r="N5" i="47"/>
  <c r="E7" i="49"/>
  <c r="E9" i="56"/>
  <c r="F7" i="49"/>
  <c r="F9" i="56"/>
  <c r="C9" i="56"/>
  <c r="Q33" i="47"/>
  <c r="R33" i="47"/>
  <c r="R35" i="47"/>
  <c r="Q35" i="47"/>
  <c r="AD43" i="47"/>
  <c r="AE43" i="47"/>
  <c r="E12" i="49"/>
  <c r="E14" i="56"/>
  <c r="F12" i="49"/>
  <c r="F14" i="56"/>
  <c r="C14" i="56"/>
  <c r="F8" i="49"/>
  <c r="F10" i="56"/>
  <c r="C10" i="56"/>
  <c r="E8" i="49"/>
  <c r="E10" i="56"/>
  <c r="Q40" i="47"/>
  <c r="R40" i="47"/>
  <c r="C16" i="49"/>
  <c r="D16" i="49"/>
  <c r="K6" i="47"/>
  <c r="O37" i="47"/>
  <c r="O38" i="47"/>
  <c r="X54" i="50"/>
  <c r="H55" i="51"/>
  <c r="I55" i="51"/>
  <c r="J55" i="51"/>
  <c r="T43" i="50"/>
  <c r="F54" i="55"/>
  <c r="G54" i="55"/>
  <c r="AG27" i="47"/>
  <c r="AC27" i="47"/>
  <c r="AD27" i="47"/>
  <c r="Q28" i="47"/>
  <c r="R28" i="47"/>
  <c r="AG28" i="47"/>
  <c r="AD46" i="47"/>
  <c r="AE46" i="47"/>
  <c r="X46" i="50"/>
  <c r="X43" i="47"/>
  <c r="Y44" i="47"/>
  <c r="AG36" i="47"/>
  <c r="AG32" i="47"/>
  <c r="O39" i="47"/>
  <c r="H4" i="47"/>
  <c r="K17" i="47"/>
  <c r="O26" i="47"/>
  <c r="D20" i="56"/>
  <c r="C20" i="56"/>
  <c r="P20" i="56"/>
  <c r="AA20" i="56"/>
  <c r="P14" i="47"/>
  <c r="N24" i="47"/>
  <c r="N25" i="47"/>
  <c r="N31" i="47"/>
  <c r="AG31" i="47"/>
  <c r="AC31" i="47"/>
  <c r="AG30" i="47"/>
  <c r="X42" i="47"/>
  <c r="Y42" i="47"/>
  <c r="AC42" i="47"/>
  <c r="N26" i="47"/>
  <c r="P32" i="47"/>
  <c r="AC32" i="47"/>
  <c r="AD32" i="47"/>
  <c r="AE32" i="47"/>
  <c r="R34" i="47"/>
  <c r="AC30" i="47"/>
  <c r="AD30" i="47"/>
  <c r="N16" i="47"/>
  <c r="N22" i="47"/>
  <c r="K27" i="47"/>
  <c r="O16" i="47"/>
  <c r="Q32" i="47"/>
  <c r="N20" i="47"/>
  <c r="P4" i="47"/>
  <c r="K22" i="47"/>
  <c r="O21" i="47"/>
  <c r="R21" i="47"/>
  <c r="N17" i="47"/>
  <c r="Q27" i="47"/>
  <c r="N19" i="47"/>
  <c r="P22" i="47"/>
  <c r="Z18" i="49"/>
  <c r="N15" i="47"/>
  <c r="N21" i="47"/>
  <c r="D7" i="49"/>
  <c r="D9" i="56"/>
  <c r="AC10" i="49"/>
  <c r="AC12" i="56"/>
  <c r="Q7" i="56"/>
  <c r="D6" i="49"/>
  <c r="Q6" i="49"/>
  <c r="Z5" i="49"/>
  <c r="AC11" i="56"/>
  <c r="AC9" i="49"/>
  <c r="AC15" i="56"/>
  <c r="AC13" i="49"/>
  <c r="AC18" i="56"/>
  <c r="AC16" i="49"/>
  <c r="AC16" i="56"/>
  <c r="AC14" i="49"/>
  <c r="V10" i="47"/>
  <c r="W10" i="47"/>
  <c r="D8" i="49"/>
  <c r="AC10" i="56"/>
  <c r="AC7" i="56"/>
  <c r="AC17" i="56"/>
  <c r="AC15" i="49"/>
  <c r="AD39" i="47"/>
  <c r="AE39" i="47"/>
  <c r="AD31" i="47"/>
  <c r="AE31" i="47"/>
  <c r="AC8" i="56"/>
  <c r="AC7" i="49"/>
  <c r="AC9" i="56"/>
  <c r="AC28" i="47"/>
  <c r="Y9" i="56"/>
  <c r="Y28" i="56"/>
  <c r="P17" i="49"/>
  <c r="AA17" i="49"/>
  <c r="G10" i="49"/>
  <c r="G11" i="56"/>
  <c r="U8" i="49"/>
  <c r="U9" i="56"/>
  <c r="T10" i="49"/>
  <c r="T11" i="56"/>
  <c r="R9" i="56"/>
  <c r="R8" i="49"/>
  <c r="S7" i="49"/>
  <c r="S8" i="56"/>
  <c r="P18" i="49"/>
  <c r="AA18" i="49"/>
  <c r="C8" i="56"/>
  <c r="F6" i="49"/>
  <c r="F8" i="56"/>
  <c r="P7" i="49"/>
  <c r="P9" i="56"/>
  <c r="AE27" i="47"/>
  <c r="AE30" i="47"/>
  <c r="K18" i="47"/>
  <c r="O25" i="47"/>
  <c r="Q21" i="47"/>
  <c r="AH28" i="47"/>
  <c r="AI28" i="47"/>
  <c r="Q38" i="47"/>
  <c r="R38" i="47"/>
  <c r="AH30" i="47"/>
  <c r="AI30" i="47"/>
  <c r="AG34" i="47"/>
  <c r="C10" i="49"/>
  <c r="AH36" i="47"/>
  <c r="AI36" i="47"/>
  <c r="Q37" i="47"/>
  <c r="R37" i="47"/>
  <c r="E16" i="49"/>
  <c r="E18" i="56"/>
  <c r="F16" i="49"/>
  <c r="F18" i="56"/>
  <c r="C18" i="56"/>
  <c r="R16" i="47"/>
  <c r="Q16" i="47"/>
  <c r="AH31" i="47"/>
  <c r="AI31" i="47"/>
  <c r="K21" i="47"/>
  <c r="O22" i="47"/>
  <c r="K25" i="47"/>
  <c r="O18" i="47"/>
  <c r="R39" i="47"/>
  <c r="Q39" i="47"/>
  <c r="AH27" i="47"/>
  <c r="AI27" i="47"/>
  <c r="K24" i="47"/>
  <c r="O19" i="47"/>
  <c r="K26" i="47"/>
  <c r="O17" i="47"/>
  <c r="Q26" i="47"/>
  <c r="R26" i="47"/>
  <c r="K28" i="47"/>
  <c r="AD42" i="47"/>
  <c r="AE42" i="47"/>
  <c r="K23" i="47"/>
  <c r="O20" i="47"/>
  <c r="K19" i="47"/>
  <c r="O24" i="47"/>
  <c r="AC21" i="47"/>
  <c r="AG21" i="47"/>
  <c r="AH32" i="47"/>
  <c r="AI32" i="47"/>
  <c r="C11" i="49"/>
  <c r="AG35" i="47"/>
  <c r="K20" i="47"/>
  <c r="O23" i="47"/>
  <c r="AG33" i="47"/>
  <c r="C9" i="49"/>
  <c r="AG29" i="47"/>
  <c r="AC29" i="47"/>
  <c r="AD29" i="47"/>
  <c r="AE29" i="47"/>
  <c r="D12" i="49"/>
  <c r="AC12" i="49"/>
  <c r="AC14" i="56"/>
  <c r="Q7" i="49"/>
  <c r="Q8" i="56"/>
  <c r="Z8" i="56"/>
  <c r="Z6" i="49"/>
  <c r="D18" i="56"/>
  <c r="D8" i="56"/>
  <c r="P8" i="56"/>
  <c r="P6" i="49"/>
  <c r="Z7" i="56"/>
  <c r="AD28" i="47"/>
  <c r="AE28" i="47"/>
  <c r="P8" i="49"/>
  <c r="D10" i="56"/>
  <c r="P10" i="56"/>
  <c r="G11" i="49"/>
  <c r="G12" i="56"/>
  <c r="U10" i="56"/>
  <c r="U9" i="49"/>
  <c r="T11" i="49"/>
  <c r="T12" i="56"/>
  <c r="R10" i="56"/>
  <c r="R9" i="49"/>
  <c r="S9" i="56"/>
  <c r="S8" i="49"/>
  <c r="AA6" i="49"/>
  <c r="AA8" i="56"/>
  <c r="AH21" i="47"/>
  <c r="AI21" i="47"/>
  <c r="F9" i="49"/>
  <c r="F11" i="56"/>
  <c r="C11" i="56"/>
  <c r="E9" i="49"/>
  <c r="E11" i="56"/>
  <c r="D9" i="49"/>
  <c r="D11" i="56"/>
  <c r="R19" i="47"/>
  <c r="Q19" i="47"/>
  <c r="AD21" i="47"/>
  <c r="AE21" i="47"/>
  <c r="Q20" i="47"/>
  <c r="R20" i="47"/>
  <c r="R17" i="47"/>
  <c r="Q17" i="47"/>
  <c r="C13" i="49"/>
  <c r="AG37" i="47"/>
  <c r="AH33" i="47"/>
  <c r="AI33" i="47"/>
  <c r="AH35" i="47"/>
  <c r="AI35" i="47"/>
  <c r="Q18" i="47"/>
  <c r="R18" i="47"/>
  <c r="R22" i="47"/>
  <c r="Q22" i="47"/>
  <c r="C14" i="49"/>
  <c r="AG38" i="47"/>
  <c r="R24" i="47"/>
  <c r="Q24" i="47"/>
  <c r="Q23" i="47"/>
  <c r="R23" i="47"/>
  <c r="E11" i="49"/>
  <c r="E13" i="56"/>
  <c r="C13" i="56"/>
  <c r="F11" i="49"/>
  <c r="F13" i="56"/>
  <c r="D11" i="49"/>
  <c r="AG16" i="47"/>
  <c r="AC16" i="47"/>
  <c r="AD16" i="47"/>
  <c r="AE16" i="47"/>
  <c r="F10" i="49"/>
  <c r="F12" i="56"/>
  <c r="C12" i="56"/>
  <c r="E10" i="49"/>
  <c r="E12" i="56"/>
  <c r="D10" i="49"/>
  <c r="O15" i="47"/>
  <c r="H5" i="47"/>
  <c r="AH34" i="47"/>
  <c r="AI34" i="47"/>
  <c r="Q25" i="47"/>
  <c r="R25" i="47"/>
  <c r="AH29" i="47"/>
  <c r="AI29" i="47"/>
  <c r="AC26" i="47"/>
  <c r="AD26" i="47"/>
  <c r="AE26" i="47"/>
  <c r="AG26" i="47"/>
  <c r="C15" i="49"/>
  <c r="AG39" i="47"/>
  <c r="F5" i="49"/>
  <c r="C7" i="56"/>
  <c r="E5" i="49"/>
  <c r="D7" i="56"/>
  <c r="Q9" i="56"/>
  <c r="Z9" i="56"/>
  <c r="AA9" i="56"/>
  <c r="Q8" i="49"/>
  <c r="Z7" i="49"/>
  <c r="AA7" i="49"/>
  <c r="D14" i="56"/>
  <c r="G12" i="49"/>
  <c r="G13" i="56"/>
  <c r="U10" i="49"/>
  <c r="U11" i="56"/>
  <c r="T12" i="49"/>
  <c r="T13" i="56"/>
  <c r="R11" i="56"/>
  <c r="R10" i="49"/>
  <c r="S9" i="49"/>
  <c r="S10" i="56"/>
  <c r="P9" i="49"/>
  <c r="AG23" i="47"/>
  <c r="AC23" i="47"/>
  <c r="AC18" i="47"/>
  <c r="AG18" i="47"/>
  <c r="T50" i="47"/>
  <c r="T51" i="47"/>
  <c r="D15" i="49"/>
  <c r="D17" i="56"/>
  <c r="E15" i="49"/>
  <c r="E17" i="56"/>
  <c r="F15" i="49"/>
  <c r="F17" i="56"/>
  <c r="C17" i="56"/>
  <c r="AH16" i="47"/>
  <c r="AI16" i="47"/>
  <c r="C15" i="56"/>
  <c r="E13" i="49"/>
  <c r="E15" i="56"/>
  <c r="F13" i="49"/>
  <c r="F15" i="56"/>
  <c r="D13" i="49"/>
  <c r="D15" i="56"/>
  <c r="D12" i="56"/>
  <c r="D13" i="56"/>
  <c r="D14" i="49"/>
  <c r="D16" i="56"/>
  <c r="D28" i="56"/>
  <c r="AG19" i="47"/>
  <c r="AC19" i="47"/>
  <c r="AD19" i="47"/>
  <c r="AE19" i="47"/>
  <c r="Q15" i="47"/>
  <c r="R15" i="47"/>
  <c r="AG24" i="47"/>
  <c r="AC24" i="47"/>
  <c r="AD24" i="47"/>
  <c r="AE24" i="47"/>
  <c r="AG17" i="47"/>
  <c r="AC17" i="47"/>
  <c r="AH26" i="47"/>
  <c r="AI26" i="47"/>
  <c r="K39" i="47"/>
  <c r="O4" i="47"/>
  <c r="K37" i="47"/>
  <c r="O6" i="47"/>
  <c r="K29" i="47"/>
  <c r="K34" i="47"/>
  <c r="O9" i="47"/>
  <c r="K40" i="47"/>
  <c r="O3" i="47"/>
  <c r="K36" i="47"/>
  <c r="O7" i="47"/>
  <c r="K38" i="47"/>
  <c r="O5" i="47"/>
  <c r="K35" i="47"/>
  <c r="O8" i="47"/>
  <c r="K33" i="47"/>
  <c r="O10" i="47"/>
  <c r="K32" i="47"/>
  <c r="O11" i="47"/>
  <c r="K31" i="47"/>
  <c r="O12" i="47"/>
  <c r="P11" i="49"/>
  <c r="P11" i="56"/>
  <c r="E7" i="56"/>
  <c r="P12" i="56"/>
  <c r="P10" i="49"/>
  <c r="AH38" i="47"/>
  <c r="AI38" i="47"/>
  <c r="AG20" i="47"/>
  <c r="AC20" i="47"/>
  <c r="C16" i="56"/>
  <c r="C28" i="56"/>
  <c r="F14" i="49"/>
  <c r="F16" i="56"/>
  <c r="E14" i="49"/>
  <c r="E16" i="56"/>
  <c r="C26" i="49"/>
  <c r="D26" i="49"/>
  <c r="D27" i="49"/>
  <c r="AG25" i="47"/>
  <c r="AC25" i="47"/>
  <c r="F7" i="56"/>
  <c r="AC22" i="47"/>
  <c r="AD22" i="47"/>
  <c r="AE22" i="47"/>
  <c r="AG22" i="47"/>
  <c r="AH39" i="47"/>
  <c r="AI39" i="47"/>
  <c r="AH37" i="47"/>
  <c r="AI37" i="47"/>
  <c r="P5" i="49"/>
  <c r="AA5" i="49"/>
  <c r="Q10" i="56"/>
  <c r="Q9" i="49"/>
  <c r="Z8" i="49"/>
  <c r="P13" i="56"/>
  <c r="G14" i="56"/>
  <c r="P14" i="56"/>
  <c r="G13" i="49"/>
  <c r="P12" i="49"/>
  <c r="U12" i="56"/>
  <c r="U11" i="49"/>
  <c r="T13" i="49"/>
  <c r="T14" i="56"/>
  <c r="R12" i="56"/>
  <c r="R11" i="49"/>
  <c r="S10" i="49"/>
  <c r="S11" i="56"/>
  <c r="F26" i="49"/>
  <c r="AH22" i="47"/>
  <c r="AI22" i="47"/>
  <c r="Q9" i="47"/>
  <c r="R9" i="47"/>
  <c r="AC9" i="47"/>
  <c r="AD9" i="47"/>
  <c r="AH17" i="47"/>
  <c r="AI17" i="47"/>
  <c r="R12" i="47"/>
  <c r="AC12" i="47"/>
  <c r="Q12" i="47"/>
  <c r="O14" i="47"/>
  <c r="K30" i="47"/>
  <c r="O13" i="47"/>
  <c r="R11" i="47"/>
  <c r="AC11" i="47"/>
  <c r="Q11" i="47"/>
  <c r="AH20" i="47"/>
  <c r="AI20" i="47"/>
  <c r="Q10" i="47"/>
  <c r="R10" i="47"/>
  <c r="AC10" i="47"/>
  <c r="AG15" i="47"/>
  <c r="AC15" i="47"/>
  <c r="Q7" i="47"/>
  <c r="R7" i="47"/>
  <c r="R6" i="47"/>
  <c r="Q6" i="47"/>
  <c r="F28" i="56"/>
  <c r="E28" i="56"/>
  <c r="AD25" i="47"/>
  <c r="AE25" i="47"/>
  <c r="E26" i="49"/>
  <c r="E27" i="49"/>
  <c r="X7" i="50"/>
  <c r="R8" i="47"/>
  <c r="Q8" i="47"/>
  <c r="AH18" i="47"/>
  <c r="AI18" i="47"/>
  <c r="AH24" i="47"/>
  <c r="AI24" i="47"/>
  <c r="R4" i="47"/>
  <c r="Q4" i="47"/>
  <c r="AH25" i="47"/>
  <c r="AI25" i="47"/>
  <c r="AD20" i="47"/>
  <c r="AE20" i="47"/>
  <c r="P7" i="56"/>
  <c r="R5" i="47"/>
  <c r="Q5" i="47"/>
  <c r="AD18" i="47"/>
  <c r="AE18" i="47"/>
  <c r="AD23" i="47"/>
  <c r="AE23" i="47"/>
  <c r="AH19" i="47"/>
  <c r="AI19" i="47"/>
  <c r="C27" i="49"/>
  <c r="I11" i="50"/>
  <c r="R3" i="47"/>
  <c r="Q3" i="47"/>
  <c r="AD17" i="47"/>
  <c r="AE17" i="47"/>
  <c r="P13" i="49"/>
  <c r="AH23" i="47"/>
  <c r="AI23" i="47"/>
  <c r="AA8" i="49"/>
  <c r="Q10" i="49"/>
  <c r="Q11" i="56"/>
  <c r="Z11" i="56"/>
  <c r="AA11" i="56"/>
  <c r="Z9" i="49"/>
  <c r="AA9" i="49"/>
  <c r="Z10" i="56"/>
  <c r="G14" i="49"/>
  <c r="G15" i="56"/>
  <c r="P15" i="56"/>
  <c r="U13" i="56"/>
  <c r="U12" i="49"/>
  <c r="T14" i="49"/>
  <c r="T15" i="56"/>
  <c r="R13" i="56"/>
  <c r="R12" i="49"/>
  <c r="S12" i="56"/>
  <c r="S11" i="49"/>
  <c r="AD12" i="47"/>
  <c r="AE12" i="47"/>
  <c r="X9" i="50"/>
  <c r="X4" i="50"/>
  <c r="AD15" i="47"/>
  <c r="AE15" i="47"/>
  <c r="Q13" i="47"/>
  <c r="R13" i="47"/>
  <c r="AC13" i="47"/>
  <c r="AE9" i="47"/>
  <c r="AD11" i="47"/>
  <c r="AE11" i="47"/>
  <c r="AA7" i="56"/>
  <c r="AH15" i="47"/>
  <c r="AI15" i="47"/>
  <c r="R14" i="47"/>
  <c r="AC14" i="47"/>
  <c r="Q14" i="47"/>
  <c r="AD10" i="47"/>
  <c r="AE10" i="47"/>
  <c r="Q12" i="56"/>
  <c r="Z12" i="56"/>
  <c r="AA12" i="56"/>
  <c r="Q11" i="49"/>
  <c r="Z10" i="49"/>
  <c r="AA10" i="56"/>
  <c r="G16" i="56"/>
  <c r="P16" i="56"/>
  <c r="G15" i="49"/>
  <c r="P14" i="49"/>
  <c r="U13" i="49"/>
  <c r="U14" i="56"/>
  <c r="T16" i="56"/>
  <c r="T15" i="49"/>
  <c r="R14" i="56"/>
  <c r="R13" i="49"/>
  <c r="S12" i="49"/>
  <c r="S13" i="56"/>
  <c r="F10" i="50"/>
  <c r="X5" i="50"/>
  <c r="E16" i="46"/>
  <c r="AD13" i="47"/>
  <c r="AE13" i="47"/>
  <c r="AD14" i="47"/>
  <c r="AE14" i="47"/>
  <c r="AC44" i="47"/>
  <c r="AC47" i="47"/>
  <c r="Q13" i="56"/>
  <c r="Q12" i="49"/>
  <c r="Z11" i="49"/>
  <c r="AA11" i="49"/>
  <c r="AA10" i="49"/>
  <c r="G17" i="56"/>
  <c r="P17" i="56"/>
  <c r="G16" i="49"/>
  <c r="P15" i="49"/>
  <c r="U15" i="56"/>
  <c r="U14" i="49"/>
  <c r="T16" i="49"/>
  <c r="T17" i="56"/>
  <c r="R15" i="56"/>
  <c r="R14" i="49"/>
  <c r="Z13" i="56"/>
  <c r="AA13" i="56"/>
  <c r="S13" i="49"/>
  <c r="S14" i="56"/>
  <c r="AE44" i="47"/>
  <c r="AE47" i="47"/>
  <c r="AD44" i="47"/>
  <c r="AD47" i="47"/>
  <c r="F11" i="50"/>
  <c r="X8" i="50"/>
  <c r="X10" i="50"/>
  <c r="AP32" i="47"/>
  <c r="AU32" i="47"/>
  <c r="Q13" i="49"/>
  <c r="Z12" i="49"/>
  <c r="Q14" i="56"/>
  <c r="Z14" i="56"/>
  <c r="AA14" i="56"/>
  <c r="P16" i="49"/>
  <c r="P26" i="49"/>
  <c r="P27" i="49"/>
  <c r="S7" i="50"/>
  <c r="T7" i="50"/>
  <c r="G18" i="56"/>
  <c r="G26" i="49"/>
  <c r="G27" i="49"/>
  <c r="U15" i="49"/>
  <c r="U16" i="56"/>
  <c r="T18" i="56"/>
  <c r="T28" i="56"/>
  <c r="T26" i="49"/>
  <c r="T27" i="49"/>
  <c r="AP36" i="47"/>
  <c r="AU36" i="47"/>
  <c r="R15" i="49"/>
  <c r="R16" i="56"/>
  <c r="S15" i="56"/>
  <c r="S14" i="49"/>
  <c r="Q15" i="56"/>
  <c r="Z15" i="56"/>
  <c r="AA15" i="56"/>
  <c r="Q14" i="49"/>
  <c r="Z13" i="49"/>
  <c r="AA13" i="49"/>
  <c r="AA12" i="49"/>
  <c r="X48" i="50"/>
  <c r="AP38" i="47"/>
  <c r="H20" i="51"/>
  <c r="BS4" i="47"/>
  <c r="P18" i="56"/>
  <c r="P28" i="56"/>
  <c r="G28" i="56"/>
  <c r="U17" i="56"/>
  <c r="U16" i="49"/>
  <c r="R16" i="49"/>
  <c r="R17" i="56"/>
  <c r="S15" i="49"/>
  <c r="S16" i="56"/>
  <c r="Q15" i="49"/>
  <c r="Q16" i="56"/>
  <c r="Z16" i="56"/>
  <c r="AA16" i="56"/>
  <c r="Z14" i="49"/>
  <c r="W3" i="46"/>
  <c r="AB3" i="46"/>
  <c r="AP34" i="47"/>
  <c r="AU34" i="47"/>
  <c r="BS10" i="47"/>
  <c r="BS13" i="47"/>
  <c r="H23" i="51"/>
  <c r="I20" i="51"/>
  <c r="U18" i="56"/>
  <c r="U28" i="56"/>
  <c r="U26" i="49"/>
  <c r="U27" i="49"/>
  <c r="AP30" i="47"/>
  <c r="AU30" i="47"/>
  <c r="R18" i="56"/>
  <c r="R28" i="56"/>
  <c r="R26" i="49"/>
  <c r="R27" i="49"/>
  <c r="AP4" i="47"/>
  <c r="AR4" i="47"/>
  <c r="AS4" i="47"/>
  <c r="AT4" i="47"/>
  <c r="AU4" i="47"/>
  <c r="S16" i="49"/>
  <c r="S17" i="56"/>
  <c r="AA14" i="49"/>
  <c r="Q17" i="56"/>
  <c r="Z17" i="56"/>
  <c r="AA17" i="56"/>
  <c r="Q16" i="49"/>
  <c r="Z15" i="49"/>
  <c r="AA15" i="49"/>
  <c r="J23" i="51"/>
  <c r="I23" i="51"/>
  <c r="AB5" i="46"/>
  <c r="BG3" i="47"/>
  <c r="BN29" i="47"/>
  <c r="BN32" i="47"/>
  <c r="BG4" i="47"/>
  <c r="S18" i="56"/>
  <c r="S28" i="56"/>
  <c r="S26" i="49"/>
  <c r="S27" i="49"/>
  <c r="AP5" i="47"/>
  <c r="AR5" i="47"/>
  <c r="AS5" i="47"/>
  <c r="AT5" i="47"/>
  <c r="AU5" i="47"/>
  <c r="Q18" i="56"/>
  <c r="Z16" i="49"/>
  <c r="Q26" i="49"/>
  <c r="Q27" i="49"/>
  <c r="AP3" i="47"/>
  <c r="AP19" i="47"/>
  <c r="Z9" i="46"/>
  <c r="AB9" i="46"/>
  <c r="BG13" i="47"/>
  <c r="BG22" i="47"/>
  <c r="BH4" i="47"/>
  <c r="Z8" i="46"/>
  <c r="AB8" i="46"/>
  <c r="BH3" i="47"/>
  <c r="BG12" i="47"/>
  <c r="BG21" i="47"/>
  <c r="BG5" i="47"/>
  <c r="AA16" i="49"/>
  <c r="AA26" i="49"/>
  <c r="AA27" i="49"/>
  <c r="Z26" i="49"/>
  <c r="Z27" i="49"/>
  <c r="Z18" i="56"/>
  <c r="Q28" i="56"/>
  <c r="X43" i="50"/>
  <c r="AP16" i="47"/>
  <c r="AS22" i="47"/>
  <c r="Z10" i="46"/>
  <c r="AB10" i="46"/>
  <c r="BH5" i="47"/>
  <c r="BG14" i="47"/>
  <c r="BG23" i="47"/>
  <c r="BB31" i="47"/>
  <c r="BH12" i="47"/>
  <c r="BH21" i="47"/>
  <c r="BH13" i="47"/>
  <c r="BH22" i="47"/>
  <c r="BB32" i="47"/>
  <c r="BG6" i="47"/>
  <c r="AA18" i="56"/>
  <c r="AA28" i="56"/>
  <c r="Z28" i="56"/>
  <c r="AS2" i="47"/>
  <c r="AS21" i="47"/>
  <c r="BH6" i="47"/>
  <c r="Z11" i="46"/>
  <c r="AB11" i="46"/>
  <c r="BG7" i="47"/>
  <c r="BG8" i="47"/>
  <c r="BG15" i="47"/>
  <c r="BG24" i="47"/>
  <c r="BH14" i="47"/>
  <c r="BH23" i="47"/>
  <c r="BB33" i="47"/>
  <c r="AS3" i="47"/>
  <c r="AS16" i="47"/>
  <c r="AT3" i="47"/>
  <c r="AU3" i="47"/>
  <c r="AS24" i="47"/>
  <c r="AS23" i="47"/>
  <c r="BG17" i="47"/>
  <c r="BG26" i="47"/>
  <c r="BH8" i="47"/>
  <c r="Z13" i="46"/>
  <c r="AB13" i="46"/>
  <c r="BG9" i="47"/>
  <c r="BG18" i="47"/>
  <c r="BG27" i="47"/>
  <c r="BB34" i="47"/>
  <c r="BH15" i="47"/>
  <c r="BH24" i="47"/>
  <c r="BG16" i="47"/>
  <c r="BG25" i="47"/>
  <c r="Z12" i="46"/>
  <c r="AB12" i="46"/>
  <c r="AB14" i="46"/>
  <c r="BH7" i="47"/>
  <c r="AS25" i="47"/>
  <c r="AR3" i="47"/>
  <c r="AR16" i="47"/>
  <c r="BH9" i="47"/>
  <c r="BH17" i="47"/>
  <c r="BH26" i="47"/>
  <c r="BB36" i="47"/>
  <c r="AT16" i="47"/>
  <c r="Z14" i="46"/>
  <c r="BB35" i="47"/>
  <c r="BB37" i="47"/>
  <c r="BH16" i="47"/>
  <c r="BH25" i="47"/>
  <c r="AR17" i="47"/>
  <c r="AP17" i="47"/>
  <c r="AR18" i="47"/>
  <c r="BH18" i="47"/>
  <c r="BH27" i="47"/>
  <c r="BN30" i="47"/>
  <c r="AP41" i="47"/>
  <c r="AU16" i="47"/>
  <c r="AP18" i="47"/>
  <c r="AS17" i="47"/>
  <c r="X65" i="50"/>
  <c r="BN31" i="47"/>
  <c r="AB15" i="46"/>
  <c r="AB16" i="46"/>
  <c r="AT17" i="47"/>
  <c r="AS18" i="47"/>
  <c r="AU17" i="47"/>
  <c r="AU18" i="47"/>
  <c r="AU37" i="47"/>
  <c r="AT18" i="47"/>
  <c r="BS6" i="47"/>
  <c r="AP39" i="47"/>
  <c r="BS11" i="47"/>
  <c r="W4" i="46"/>
  <c r="W5" i="46"/>
  <c r="BH29" i="47"/>
  <c r="BI2" i="47"/>
  <c r="BA12" i="47"/>
  <c r="BB12" i="47"/>
  <c r="BC2" i="47"/>
  <c r="BC20" i="47"/>
  <c r="BG29" i="47"/>
  <c r="BA3" i="47"/>
  <c r="BA4" i="47"/>
  <c r="BI29" i="47"/>
  <c r="BC11" i="47"/>
  <c r="BA21" i="47"/>
  <c r="BA5" i="47"/>
  <c r="BB5" i="47"/>
  <c r="W10" i="46"/>
  <c r="BG31" i="47"/>
  <c r="BM31" i="47"/>
  <c r="W15" i="46"/>
  <c r="BM29" i="47"/>
  <c r="BK29" i="47"/>
  <c r="BG32" i="47"/>
  <c r="BM32" i="47"/>
  <c r="BK32" i="47"/>
  <c r="BI31" i="47"/>
  <c r="BI32" i="47"/>
  <c r="BI34" i="47"/>
  <c r="BB3" i="47"/>
  <c r="W8" i="46"/>
  <c r="U8" i="46"/>
  <c r="BC21" i="47"/>
  <c r="BC22" i="47"/>
  <c r="BC4" i="47"/>
  <c r="BC3" i="47"/>
  <c r="BA22" i="47"/>
  <c r="BB22" i="47"/>
  <c r="BB21" i="47"/>
  <c r="BB26" i="47"/>
  <c r="BI30" i="47"/>
  <c r="BI35" i="47"/>
  <c r="BI36" i="47"/>
  <c r="BI11" i="47"/>
  <c r="BI20" i="47"/>
  <c r="BI3" i="47"/>
  <c r="BI12" i="47"/>
  <c r="BI21" i="47"/>
  <c r="BI4" i="47"/>
  <c r="BI13" i="47"/>
  <c r="BB4" i="47"/>
  <c r="W9" i="46"/>
  <c r="U9" i="46"/>
  <c r="BA13" i="47"/>
  <c r="BB13" i="47"/>
  <c r="BC13" i="47"/>
  <c r="BC12" i="47"/>
  <c r="BH32" i="47"/>
  <c r="BH31" i="47"/>
  <c r="BA8" i="47"/>
  <c r="BC5" i="47"/>
  <c r="U10" i="46"/>
  <c r="U14" i="46"/>
  <c r="BI5" i="47"/>
  <c r="BI22" i="47"/>
  <c r="BB8" i="47"/>
  <c r="BO2" i="47"/>
  <c r="BC30" i="47"/>
  <c r="BA14" i="47"/>
  <c r="BA26" i="47"/>
  <c r="BC23" i="47"/>
  <c r="W14" i="46"/>
  <c r="W16" i="46"/>
  <c r="BO16" i="47"/>
  <c r="BO25" i="47"/>
  <c r="AP40" i="47"/>
  <c r="BO15" i="47"/>
  <c r="BO11" i="47"/>
  <c r="BC6" i="47"/>
  <c r="BG33" i="47"/>
  <c r="BM33" i="47"/>
  <c r="BO22" i="47"/>
  <c r="BO21" i="47"/>
  <c r="BO24" i="47"/>
  <c r="BO7" i="47"/>
  <c r="BC35" i="47"/>
  <c r="BO13" i="47"/>
  <c r="BO6" i="47"/>
  <c r="BC34" i="47"/>
  <c r="BG30" i="47"/>
  <c r="BM30" i="47"/>
  <c r="BO5" i="47"/>
  <c r="BC33" i="47"/>
  <c r="BB14" i="47"/>
  <c r="BB17" i="47"/>
  <c r="BH30" i="47"/>
  <c r="BA17" i="47"/>
  <c r="BC14" i="47"/>
  <c r="BO4" i="47"/>
  <c r="BC32" i="47"/>
  <c r="BO3" i="47"/>
  <c r="BC31" i="47"/>
  <c r="BO12" i="47"/>
  <c r="BO20" i="47"/>
  <c r="BI14" i="47"/>
  <c r="BN33" i="47"/>
  <c r="BG34" i="47"/>
  <c r="BM34" i="47"/>
  <c r="W17" i="46"/>
  <c r="BG35" i="47"/>
  <c r="BM35" i="47"/>
  <c r="BN35" i="47"/>
  <c r="BK35" i="47"/>
  <c r="T70" i="50"/>
  <c r="J7" i="52"/>
  <c r="BN34" i="47"/>
  <c r="BI23" i="47"/>
  <c r="BO23" i="47"/>
  <c r="BO14" i="47"/>
  <c r="BK33" i="47"/>
  <c r="BC15" i="47"/>
  <c r="BH33" i="47"/>
  <c r="BH34" i="47"/>
  <c r="W18" i="46"/>
  <c r="W19" i="46"/>
  <c r="BG36" i="47"/>
  <c r="BM36" i="47"/>
  <c r="BN36" i="47"/>
  <c r="BK16" i="47"/>
  <c r="AB17" i="46"/>
  <c r="AB18" i="46"/>
  <c r="AB19" i="46"/>
  <c r="D25" i="46"/>
  <c r="BK34" i="47"/>
  <c r="T69" i="50"/>
  <c r="BH35" i="47"/>
  <c r="BH36" i="47"/>
  <c r="BM16" i="47"/>
  <c r="BM2" i="47"/>
  <c r="BA30" i="47"/>
  <c r="J59" i="50"/>
  <c r="BL24" i="47"/>
  <c r="BK20" i="47"/>
  <c r="D24" i="46"/>
  <c r="E24" i="46"/>
  <c r="BK26" i="47"/>
  <c r="BK15" i="47"/>
  <c r="BL26" i="47"/>
  <c r="BN4" i="47"/>
  <c r="BL16" i="47"/>
  <c r="BN5" i="47"/>
  <c r="BN22" i="47"/>
  <c r="BK14" i="47"/>
  <c r="BL23" i="47"/>
  <c r="BN20" i="47"/>
  <c r="BM7" i="47"/>
  <c r="BA35" i="47"/>
  <c r="J64" i="50"/>
  <c r="BL21" i="47"/>
  <c r="BL13" i="47"/>
  <c r="BN24" i="47"/>
  <c r="BK2" i="47"/>
  <c r="AY30" i="47"/>
  <c r="F59" i="50"/>
  <c r="BL5" i="47"/>
  <c r="AZ33" i="47"/>
  <c r="N62" i="50"/>
  <c r="BM4" i="47"/>
  <c r="BA32" i="47"/>
  <c r="J61" i="50"/>
  <c r="BN25" i="47"/>
  <c r="BN8" i="47"/>
  <c r="BK12" i="47"/>
  <c r="BN11" i="47"/>
  <c r="BK24" i="47"/>
  <c r="BM21" i="47"/>
  <c r="BL22" i="47"/>
  <c r="BL12" i="47"/>
  <c r="BM13" i="47"/>
  <c r="BM11" i="47"/>
  <c r="BM5" i="47"/>
  <c r="BA33" i="47"/>
  <c r="J62" i="50"/>
  <c r="BL6" i="47"/>
  <c r="AZ34" i="47"/>
  <c r="N63" i="50"/>
  <c r="BM23" i="47"/>
  <c r="BN26" i="47"/>
  <c r="BM8" i="47"/>
  <c r="BA36" i="47"/>
  <c r="J65" i="50"/>
  <c r="BL8" i="47"/>
  <c r="AZ36" i="47"/>
  <c r="N65" i="50"/>
  <c r="S65" i="50"/>
  <c r="BL14" i="47"/>
  <c r="BL11" i="47"/>
  <c r="BL2" i="47"/>
  <c r="AZ30" i="47"/>
  <c r="N59" i="50"/>
  <c r="BN3" i="47"/>
  <c r="BK21" i="47"/>
  <c r="BK5" i="47"/>
  <c r="AY33" i="47"/>
  <c r="F62" i="50"/>
  <c r="BK36" i="47"/>
  <c r="BO36" i="47"/>
  <c r="J6" i="52"/>
  <c r="J69" i="50"/>
  <c r="C6" i="52"/>
  <c r="BK11" i="47"/>
  <c r="BL15" i="47"/>
  <c r="BN17" i="47"/>
  <c r="BM15" i="47"/>
  <c r="BK25" i="47"/>
  <c r="BN15" i="47"/>
  <c r="BM14" i="47"/>
  <c r="BL20" i="47"/>
  <c r="BL3" i="47"/>
  <c r="AZ31" i="47"/>
  <c r="N60" i="50"/>
  <c r="BN7" i="47"/>
  <c r="BN16" i="47"/>
  <c r="BN12" i="47"/>
  <c r="BM22" i="47"/>
  <c r="BN13" i="47"/>
  <c r="BN6" i="47"/>
  <c r="BM20" i="47"/>
  <c r="BK7" i="47"/>
  <c r="AY35" i="47"/>
  <c r="F64" i="50"/>
  <c r="BK3" i="47"/>
  <c r="AY31" i="47"/>
  <c r="F60" i="50"/>
  <c r="BN2" i="47"/>
  <c r="BM12" i="47"/>
  <c r="BM17" i="47"/>
  <c r="BN23" i="47"/>
  <c r="BK23" i="47"/>
  <c r="BK13" i="47"/>
  <c r="BM25" i="47"/>
  <c r="BK4" i="47"/>
  <c r="AY32" i="47"/>
  <c r="F61" i="50"/>
  <c r="BM3" i="47"/>
  <c r="BA31" i="47"/>
  <c r="J60" i="50"/>
  <c r="BK17" i="47"/>
  <c r="BL17" i="47"/>
  <c r="BM24" i="47"/>
  <c r="BL25" i="47"/>
  <c r="BK22" i="47"/>
  <c r="BL7" i="47"/>
  <c r="AZ35" i="47"/>
  <c r="N64" i="50"/>
  <c r="BK6" i="47"/>
  <c r="AY34" i="47"/>
  <c r="F63" i="50"/>
  <c r="BL4" i="47"/>
  <c r="AZ32" i="47"/>
  <c r="N61" i="50"/>
  <c r="BN21" i="47"/>
  <c r="BN14" i="47"/>
  <c r="BM26" i="47"/>
  <c r="BK8" i="47"/>
  <c r="AY36" i="47"/>
  <c r="F65" i="50"/>
  <c r="BM6" i="47"/>
  <c r="BA34" i="47"/>
  <c r="J63" i="50"/>
  <c r="S63" i="50"/>
  <c r="S59" i="50"/>
  <c r="S60" i="50"/>
  <c r="BM27" i="47"/>
  <c r="BM9" i="47"/>
  <c r="BN9" i="47"/>
  <c r="S61" i="50"/>
  <c r="BN18" i="47"/>
  <c r="BN27" i="47"/>
  <c r="BA37" i="47"/>
  <c r="S62" i="50"/>
  <c r="S64" i="50"/>
  <c r="S66" i="50"/>
  <c r="T66" i="50"/>
  <c r="J3" i="52"/>
  <c r="BM18" i="47"/>
  <c r="AZ29" i="47"/>
  <c r="B2" i="49"/>
  <c r="B4" i="56"/>
  <c r="AV23" i="47"/>
  <c r="S48" i="50"/>
  <c r="C59" i="50"/>
  <c r="D66" i="50"/>
  <c r="AV18" i="47"/>
  <c r="AV13" i="47"/>
  <c r="S38" i="50"/>
  <c r="AV17" i="47"/>
  <c r="AV3" i="47"/>
  <c r="AV24" i="47"/>
  <c r="S49" i="50"/>
  <c r="AV11" i="47"/>
  <c r="S36" i="50"/>
  <c r="AV28" i="47"/>
  <c r="S53" i="50"/>
  <c r="AV29" i="47"/>
  <c r="S54" i="50"/>
  <c r="AV7" i="47"/>
  <c r="S32" i="50"/>
  <c r="AV22" i="47"/>
  <c r="S47" i="50"/>
  <c r="AV14" i="47"/>
  <c r="S39" i="50"/>
  <c r="AV33" i="47"/>
  <c r="S14" i="50"/>
  <c r="AV5" i="47"/>
  <c r="S30" i="50"/>
  <c r="AV25" i="47"/>
  <c r="S50" i="50"/>
  <c r="AV27" i="47"/>
  <c r="S52" i="50"/>
  <c r="S11" i="50"/>
  <c r="AV12" i="47"/>
  <c r="S37" i="50"/>
  <c r="AV4" i="47"/>
  <c r="S29" i="50"/>
  <c r="AV10" i="47"/>
  <c r="S35" i="50"/>
  <c r="AV16" i="47"/>
  <c r="AV36" i="47"/>
  <c r="S16" i="50"/>
  <c r="H30" i="51"/>
  <c r="I30" i="51"/>
  <c r="AV21" i="47"/>
  <c r="S46" i="50"/>
  <c r="AV9" i="47"/>
  <c r="S34" i="50"/>
  <c r="S9" i="50"/>
  <c r="BO33" i="47"/>
  <c r="AV8" i="47"/>
  <c r="S33" i="50"/>
  <c r="AV30" i="47"/>
  <c r="S55" i="50"/>
  <c r="AV32" i="47"/>
  <c r="T11" i="50"/>
  <c r="S10" i="50"/>
  <c r="AV26" i="47"/>
  <c r="S51" i="50"/>
  <c r="AV6" i="47"/>
  <c r="S31" i="50"/>
  <c r="AV15" i="47"/>
  <c r="S40" i="50"/>
  <c r="BK31" i="47"/>
  <c r="T67" i="50"/>
  <c r="O2" i="50"/>
  <c r="B2" i="53"/>
  <c r="E2" i="51"/>
  <c r="S15" i="50"/>
  <c r="H29" i="51"/>
  <c r="BK30" i="47"/>
  <c r="C13" i="55"/>
  <c r="C21" i="57"/>
  <c r="G3" i="52"/>
  <c r="B2" i="55"/>
  <c r="F36" i="55"/>
  <c r="G36" i="55"/>
  <c r="H47" i="51"/>
  <c r="I47" i="51"/>
  <c r="H43" i="51"/>
  <c r="I43" i="51"/>
  <c r="F32" i="55"/>
  <c r="G32" i="55"/>
  <c r="F49" i="55"/>
  <c r="G49" i="55"/>
  <c r="H65" i="51"/>
  <c r="I65" i="51"/>
  <c r="J65" i="51"/>
  <c r="I29" i="51"/>
  <c r="J31" i="51"/>
  <c r="T56" i="50"/>
  <c r="X55" i="50"/>
  <c r="H59" i="51"/>
  <c r="F43" i="55"/>
  <c r="G43" i="55"/>
  <c r="H48" i="51"/>
  <c r="I48" i="51"/>
  <c r="F37" i="55"/>
  <c r="G37" i="55"/>
  <c r="F31" i="55"/>
  <c r="G31" i="55"/>
  <c r="H42" i="51"/>
  <c r="I42" i="51"/>
  <c r="H62" i="51"/>
  <c r="I62" i="51"/>
  <c r="F46" i="55"/>
  <c r="G46" i="55"/>
  <c r="C67" i="50"/>
  <c r="C4" i="52"/>
  <c r="J4" i="52"/>
  <c r="J5" i="52"/>
  <c r="J8" i="52"/>
  <c r="J10" i="52"/>
  <c r="F30" i="52"/>
  <c r="F31" i="52"/>
  <c r="H52" i="51"/>
  <c r="I52" i="51"/>
  <c r="F41" i="55"/>
  <c r="G41" i="55"/>
  <c r="F51" i="55"/>
  <c r="G51" i="55"/>
  <c r="H67" i="51"/>
  <c r="I67" i="51"/>
  <c r="H46" i="51"/>
  <c r="I46" i="51"/>
  <c r="F35" i="55"/>
  <c r="G35" i="55"/>
  <c r="F50" i="55"/>
  <c r="G50" i="55"/>
  <c r="H66" i="51"/>
  <c r="I66" i="51"/>
  <c r="H61" i="51"/>
  <c r="I61" i="51"/>
  <c r="F45" i="55"/>
  <c r="G45" i="55"/>
  <c r="F48" i="55"/>
  <c r="G48" i="55"/>
  <c r="K51" i="50"/>
  <c r="H64" i="51"/>
  <c r="I64" i="51"/>
  <c r="F47" i="55"/>
  <c r="G47" i="55"/>
  <c r="H63" i="51"/>
  <c r="I63" i="51"/>
  <c r="X49" i="50"/>
  <c r="H25" i="51"/>
  <c r="B75" i="50"/>
  <c r="T12" i="50"/>
  <c r="T16" i="50"/>
  <c r="T17" i="50"/>
  <c r="T26" i="50"/>
  <c r="H26" i="51"/>
  <c r="I26" i="51"/>
  <c r="X51" i="50"/>
  <c r="S28" i="50"/>
  <c r="X44" i="50"/>
  <c r="F52" i="55"/>
  <c r="G52" i="55"/>
  <c r="H68" i="51"/>
  <c r="I68" i="51"/>
  <c r="X45" i="50"/>
  <c r="S42" i="50"/>
  <c r="H45" i="51"/>
  <c r="I45" i="51"/>
  <c r="F34" i="55"/>
  <c r="G34" i="55"/>
  <c r="H41" i="51"/>
  <c r="I41" i="51"/>
  <c r="F30" i="55"/>
  <c r="G30" i="55"/>
  <c r="H60" i="51"/>
  <c r="I60" i="51"/>
  <c r="F44" i="55"/>
  <c r="G44" i="55"/>
  <c r="F39" i="55"/>
  <c r="G39" i="55"/>
  <c r="H50" i="51"/>
  <c r="I50" i="51"/>
  <c r="T68" i="50"/>
  <c r="F33" i="55"/>
  <c r="G33" i="55"/>
  <c r="H44" i="51"/>
  <c r="I44" i="51"/>
  <c r="H51" i="51"/>
  <c r="I51" i="51"/>
  <c r="F40" i="55"/>
  <c r="G40" i="55"/>
  <c r="H49" i="51"/>
  <c r="I49" i="51"/>
  <c r="F38" i="55"/>
  <c r="G38" i="55"/>
  <c r="M11" i="57"/>
  <c r="J53" i="58"/>
  <c r="M10" i="57"/>
  <c r="J54" i="58"/>
  <c r="H40" i="51"/>
  <c r="S41" i="50"/>
  <c r="T41" i="50"/>
  <c r="F29" i="55"/>
  <c r="G29" i="55"/>
  <c r="T42" i="50"/>
  <c r="F53" i="55"/>
  <c r="G53" i="55"/>
  <c r="H54" i="51"/>
  <c r="I54" i="51"/>
  <c r="J54" i="51"/>
  <c r="O70" i="50"/>
  <c r="T71" i="50"/>
  <c r="O71" i="50"/>
  <c r="J26" i="51"/>
  <c r="J27" i="51"/>
  <c r="J32" i="51"/>
  <c r="J37" i="51"/>
  <c r="I25" i="51"/>
  <c r="H69" i="51"/>
  <c r="I69" i="51"/>
  <c r="J69" i="51"/>
  <c r="I59" i="51"/>
  <c r="C32" i="52"/>
  <c r="V70" i="50"/>
  <c r="T74" i="50"/>
  <c r="H53" i="51"/>
  <c r="I53" i="51"/>
  <c r="J53" i="51"/>
  <c r="J56" i="51"/>
  <c r="I40" i="51"/>
  <c r="P42" i="46"/>
  <c r="X53" i="50"/>
  <c r="P41" i="46"/>
  <c r="P40" i="46"/>
  <c r="X52" i="50"/>
  <c r="X56" i="50"/>
  <c r="X57" i="50"/>
  <c r="P39" i="46"/>
  <c r="T44" i="50"/>
  <c r="T57" i="50"/>
  <c r="D32" i="52"/>
  <c r="C34" i="52"/>
  <c r="D21" i="57"/>
  <c r="X64" i="50"/>
  <c r="X66" i="50"/>
  <c r="X67" i="50"/>
  <c r="J67" i="50"/>
  <c r="G4" i="52"/>
  <c r="J70" i="51"/>
  <c r="H57" i="51"/>
  <c r="J57" i="51"/>
  <c r="S74" i="50"/>
  <c r="E13" i="52"/>
  <c r="J13" i="52"/>
  <c r="H71" i="51"/>
  <c r="J71" i="51"/>
  <c r="J2" i="52"/>
  <c r="F21" i="57"/>
  <c r="K52" i="58"/>
  <c r="K50" i="58"/>
  <c r="N7" i="57"/>
  <c r="N9" i="57"/>
  <c r="AK21" i="57"/>
  <c r="AK41" i="57"/>
  <c r="AC41" i="57"/>
  <c r="AS41" i="57"/>
  <c r="AL41" i="57"/>
  <c r="AT41" i="57"/>
  <c r="AL21" i="57"/>
  <c r="AT21" i="57"/>
  <c r="AS21" i="57"/>
  <c r="AC21" i="57"/>
  <c r="AD41" i="57"/>
  <c r="AM41" i="57"/>
  <c r="AD21" i="57"/>
  <c r="AE21" i="57"/>
  <c r="AF21" i="57"/>
  <c r="AG21" i="57"/>
  <c r="AH21" i="57"/>
  <c r="AM21" i="57"/>
  <c r="AE41" i="57"/>
  <c r="AF41" i="57"/>
  <c r="AG41" i="57"/>
  <c r="AH41" i="57"/>
  <c r="AU21" i="57"/>
  <c r="AN21" i="57"/>
  <c r="AU41" i="57"/>
  <c r="AN41" i="57"/>
  <c r="H21" i="57"/>
  <c r="N10" i="57"/>
  <c r="AO41" i="57"/>
  <c r="AV41" i="57"/>
  <c r="AO21" i="57"/>
  <c r="AW21" i="57"/>
  <c r="AV21" i="57"/>
  <c r="K53" i="58"/>
  <c r="G21" i="57"/>
  <c r="AP21" i="57"/>
  <c r="AX21" i="57"/>
  <c r="AW41" i="57"/>
  <c r="AP41" i="57"/>
  <c r="AX41" i="57"/>
  <c r="N11" i="57"/>
  <c r="N12" i="57"/>
  <c r="N14" i="57"/>
  <c r="I25" i="57"/>
  <c r="K54" i="58"/>
  <c r="I21" i="57"/>
  <c r="BO37" i="47"/>
  <c r="V37" i="46"/>
  <c r="W37" i="46"/>
  <c r="W20" i="46"/>
  <c r="W21" i="46"/>
  <c r="BN37" i="47"/>
  <c r="BN38" i="47"/>
  <c r="H4" i="57"/>
  <c r="BO38" i="47"/>
  <c r="BM37" i="47"/>
  <c r="BM38" i="47"/>
  <c r="V36" i="46"/>
  <c r="W36" i="46"/>
  <c r="AB20" i="46"/>
  <c r="AB21" i="46"/>
  <c r="E25" i="57"/>
  <c r="K55" i="58"/>
  <c r="K57" i="58"/>
  <c r="H15" i="46"/>
</calcChain>
</file>

<file path=xl/sharedStrings.xml><?xml version="1.0" encoding="utf-8"?>
<sst xmlns="http://schemas.openxmlformats.org/spreadsheetml/2006/main" count="1207" uniqueCount="739">
  <si>
    <t>MONTH
YEAR</t>
  </si>
  <si>
    <r>
      <t xml:space="preserve">ADV. TAX
</t>
    </r>
    <r>
      <rPr>
        <sz val="8"/>
        <color theme="1"/>
        <rFont val="Nirmala UI"/>
        <family val="2"/>
      </rPr>
      <t>(suggested)</t>
    </r>
  </si>
  <si>
    <t>P.H.
Allow</t>
  </si>
  <si>
    <t>Other
Allow</t>
  </si>
  <si>
    <t>Other
Ded's</t>
  </si>
  <si>
    <t>SAVINGS u/s 80C</t>
  </si>
  <si>
    <t>LIC PREMIUMS (BY HAND)</t>
  </si>
  <si>
    <t>GROSS INCOME</t>
  </si>
  <si>
    <t>→</t>
  </si>
  <si>
    <t>POSTAL LIFE INSURANCE</t>
  </si>
  <si>
    <t>ELIGIBLE DEDUCTIONS</t>
  </si>
  <si>
    <t>CPS</t>
  </si>
  <si>
    <t>SUKANYA SAMRIDHI YOJANA</t>
  </si>
  <si>
    <t>NET TAXABLE INCOME</t>
  </si>
  <si>
    <t>SBI LIFE INSURANCE</t>
  </si>
  <si>
    <t>SLABS</t>
  </si>
  <si>
    <t>INCOME</t>
  </si>
  <si>
    <t>%</t>
  </si>
  <si>
    <t>TAX</t>
  </si>
  <si>
    <t>PUBLIC PROVIDENT FUND</t>
  </si>
  <si>
    <t>SLAB 1</t>
  </si>
  <si>
    <t>A.G.I. @ 2025-2026</t>
  </si>
  <si>
    <t>TUTION FEE FOR CHILDREN</t>
  </si>
  <si>
    <t>SLAB 2</t>
  </si>
  <si>
    <t>A.A.S. Month &amp; Date</t>
  </si>
  <si>
    <t>N.A.</t>
  </si>
  <si>
    <t>HOME LOAN PRINCIPLE AMOUNT</t>
  </si>
  <si>
    <t>SLAB 3</t>
  </si>
  <si>
    <t>Surrender Leave : 2025-26</t>
  </si>
  <si>
    <t xml:space="preserve">STAMP DUTY &amp; REGISTRATION </t>
  </si>
  <si>
    <t>SLAB 4</t>
  </si>
  <si>
    <t>SUGGESTED RENT ➠</t>
  </si>
  <si>
    <t>(Maximum)</t>
  </si>
  <si>
    <t>HDFC LIFE INSURANCE</t>
  </si>
  <si>
    <t>SLAB 5</t>
  </si>
  <si>
    <t>ENTER Ur RENT HERE</t>
  </si>
  <si>
    <t>Own House = 0</t>
  </si>
  <si>
    <t>OTHERS_________________</t>
  </si>
  <si>
    <t>SLAB 6</t>
  </si>
  <si>
    <t>NUMBER OF MONTHS</t>
  </si>
  <si>
    <t>(Rent Paid)</t>
  </si>
  <si>
    <t>CPS SELF CONTRIBUTION u/s 80CCD 1B</t>
  </si>
  <si>
    <t>SLAB 7</t>
  </si>
  <si>
    <t>SELECT YOUR AGE GROUP</t>
  </si>
  <si>
    <t>Age = Below 60 Years</t>
  </si>
  <si>
    <t>CPS DEDUCTION SPLIT  ::  u/s 80CCD 1B</t>
  </si>
  <si>
    <t>YES</t>
  </si>
  <si>
    <t>TOTAL</t>
  </si>
  <si>
    <t>LESS : Rebate 87(A)</t>
  </si>
  <si>
    <t>If DA 1 Changed, Select Month</t>
  </si>
  <si>
    <t>EMPLOYEE DETAILS</t>
  </si>
  <si>
    <t>NO</t>
  </si>
  <si>
    <t>TAX After Tax Rebate</t>
  </si>
  <si>
    <t>If DA 2 Changed, Select Month</t>
  </si>
  <si>
    <t>NO CHANGE</t>
  </si>
  <si>
    <t xml:space="preserve">Sri.  </t>
  </si>
  <si>
    <t>PERUMALLA RAMANJANEYULU</t>
  </si>
  <si>
    <t>ADD : SURCHARGE</t>
  </si>
  <si>
    <t>Designation</t>
  </si>
  <si>
    <t xml:space="preserve">ADD : CESS </t>
  </si>
  <si>
    <t>Your Tax in OLD Regime</t>
  </si>
  <si>
    <t>TREASURY ID</t>
  </si>
  <si>
    <t>Income from Other Sources,
Loans , Health Insurances, Donations</t>
  </si>
  <si>
    <t>TOTAL TAX LIABILITY</t>
  </si>
  <si>
    <t>Regime is
the BEST</t>
  </si>
  <si>
    <t>EMP PAN</t>
  </si>
  <si>
    <t>MYPAN1234S</t>
  </si>
  <si>
    <t>LESS : Relief 89(1)</t>
  </si>
  <si>
    <t>Select your Choice ➠ ➠</t>
  </si>
  <si>
    <t>OLD</t>
  </si>
  <si>
    <t>EMP.OFFICE</t>
  </si>
  <si>
    <t>Z.P.HIGH SCHOOL</t>
  </si>
  <si>
    <t>CHILD Tution FEE CONCESSION (as income)</t>
  </si>
  <si>
    <t>VILLAGE</t>
  </si>
  <si>
    <t>RAHIMANPURAM</t>
  </si>
  <si>
    <r>
      <t xml:space="preserve">Medical REIMBURSEMENT Claims </t>
    </r>
    <r>
      <rPr>
        <sz val="8"/>
        <color theme="1"/>
        <rFont val="Nirmala UI"/>
        <family val="2"/>
      </rPr>
      <t>(as income)</t>
    </r>
  </si>
  <si>
    <t>MANDAL</t>
  </si>
  <si>
    <t>BETHAMCHERLA</t>
  </si>
  <si>
    <t>INCOME FROM OTHER SOURCES</t>
  </si>
  <si>
    <t>DISTRICT</t>
  </si>
  <si>
    <t>NANDYAL</t>
  </si>
  <si>
    <t>INCOME FROM FAMILY PENSION</t>
  </si>
  <si>
    <r>
      <t xml:space="preserve">ఇది ఆంధ్రప్రదేశ్ ప్రభుత్వ ఉద్యోగులకు
</t>
    </r>
    <r>
      <rPr>
        <b/>
        <sz val="12"/>
        <color rgb="FF3333FF"/>
        <rFont val="Nirmala UI"/>
        <family val="2"/>
      </rPr>
      <t>2025-26</t>
    </r>
    <r>
      <rPr>
        <b/>
        <sz val="12"/>
        <color theme="1"/>
        <rFont val="Nirmala UI"/>
        <family val="2"/>
      </rPr>
      <t xml:space="preserve"> </t>
    </r>
    <r>
      <rPr>
        <sz val="12"/>
        <color theme="1"/>
        <rFont val="Nirmala UI"/>
        <family val="2"/>
      </rPr>
      <t>ఆర్ధిక సంవత్సరానికి సంబంధించిన
ఆదాయపు పన్నును లెక్కించుకోవడానికి
ఉపయోగపడుతుంది. ఏవైన</t>
    </r>
    <r>
      <rPr>
        <b/>
        <sz val="12"/>
        <color rgb="FFFF0000"/>
        <rFont val="Nirmala UI"/>
        <family val="2"/>
      </rPr>
      <t xml:space="preserve"> ERRORS ఉంటే</t>
    </r>
    <r>
      <rPr>
        <sz val="12"/>
        <color theme="1"/>
        <rFont val="Nirmala UI"/>
        <family val="2"/>
      </rPr>
      <t xml:space="preserve"> </t>
    </r>
    <r>
      <rPr>
        <b/>
        <sz val="12"/>
        <color rgb="FF00B050"/>
        <rFont val="Nirmala UI"/>
        <family val="2"/>
      </rPr>
      <t>Whatsapp</t>
    </r>
    <r>
      <rPr>
        <sz val="12"/>
        <color theme="1"/>
        <rFont val="Nirmala UI"/>
        <family val="2"/>
      </rPr>
      <t xml:space="preserve"> లో నాకు </t>
    </r>
    <r>
      <rPr>
        <sz val="12"/>
        <color rgb="FF0707B5"/>
        <rFont val="Nirmala UI"/>
        <family val="2"/>
      </rPr>
      <t>NOTICE  చెయ్యగలరు</t>
    </r>
    <r>
      <rPr>
        <sz val="12"/>
        <color theme="1"/>
        <rFont val="Nirmala UI"/>
        <family val="2"/>
      </rPr>
      <t>.</t>
    </r>
  </si>
  <si>
    <t>APGLI No.</t>
  </si>
  <si>
    <t>L-123456</t>
  </si>
  <si>
    <r>
      <t xml:space="preserve">Annual Rent Received from </t>
    </r>
    <r>
      <rPr>
        <b/>
        <sz val="10"/>
        <color theme="1"/>
        <rFont val="Nirmala UI"/>
        <family val="2"/>
      </rPr>
      <t>Let-out</t>
    </r>
    <r>
      <rPr>
        <sz val="9"/>
        <color theme="1"/>
        <rFont val="Nirmala UI"/>
        <family val="2"/>
      </rPr>
      <t xml:space="preserve"> Property</t>
    </r>
  </si>
  <si>
    <t>Allowances
and
Deductions</t>
  </si>
  <si>
    <r>
      <t xml:space="preserve">IF CHANGED
SELECT
</t>
    </r>
    <r>
      <rPr>
        <sz val="10"/>
        <color theme="1"/>
        <rFont val="Calibri"/>
        <family val="2"/>
        <scheme val="minor"/>
      </rPr>
      <t>↓</t>
    </r>
    <r>
      <rPr>
        <sz val="10"/>
        <color theme="1"/>
        <rFont val="Nirmala UI"/>
        <family val="2"/>
      </rPr>
      <t>MONTH</t>
    </r>
    <r>
      <rPr>
        <sz val="10"/>
        <color theme="1"/>
        <rFont val="Calibri"/>
        <family val="2"/>
        <scheme val="minor"/>
      </rPr>
      <t>↓</t>
    </r>
  </si>
  <si>
    <t>ENTER
CHANGED
DEDUCTION</t>
  </si>
  <si>
    <t>Municipal taxes paid to the local authority</t>
  </si>
  <si>
    <t>DDO (EMPLOYER) DETAILS</t>
  </si>
  <si>
    <t xml:space="preserve">Income before interest on home loan = </t>
  </si>
  <si>
    <t>HMA+FPA</t>
  </si>
  <si>
    <t>Sri.</t>
  </si>
  <si>
    <t>G.SOMA SEKHAR</t>
  </si>
  <si>
    <r>
      <t xml:space="preserve">Interest Paid by you for </t>
    </r>
    <r>
      <rPr>
        <b/>
        <sz val="10"/>
        <color theme="1"/>
        <rFont val="Nirmala UI"/>
        <family val="2"/>
      </rPr>
      <t>Let-out</t>
    </r>
    <r>
      <rPr>
        <sz val="10"/>
        <color theme="1"/>
        <rFont val="Nirmala UI"/>
        <family val="2"/>
      </rPr>
      <t xml:space="preserve"> Property</t>
    </r>
  </si>
  <si>
    <t>C.C.A.</t>
  </si>
  <si>
    <t>MANDAL EDUCATIONAL OFFICER</t>
  </si>
  <si>
    <t xml:space="preserve"> from Let-Out Property</t>
  </si>
  <si>
    <t>H.C.A.</t>
  </si>
  <si>
    <t>DDO TAN</t>
  </si>
  <si>
    <t>HYDM08185C</t>
  </si>
  <si>
    <r>
      <rPr>
        <b/>
        <sz val="9"/>
        <color theme="1"/>
        <rFont val="Nirmala UI"/>
        <family val="2"/>
      </rPr>
      <t>24(b)</t>
    </r>
    <r>
      <rPr>
        <sz val="9"/>
        <color theme="1"/>
        <rFont val="Nirmala UI"/>
        <family val="2"/>
      </rPr>
      <t xml:space="preserve"> Interest on Housing Loan Advance U/s 24B  </t>
    </r>
  </si>
  <si>
    <t>UNIFORM</t>
  </si>
  <si>
    <t>DDO PAN</t>
  </si>
  <si>
    <r>
      <rPr>
        <b/>
        <sz val="9"/>
        <color theme="1"/>
        <rFont val="Nirmala UI"/>
        <family val="2"/>
      </rPr>
      <t>80EEA</t>
    </r>
    <r>
      <rPr>
        <sz val="9"/>
        <color theme="1"/>
        <rFont val="Nirmala UI"/>
        <family val="2"/>
      </rPr>
      <t xml:space="preserve"> : Interest on Home Loan in FY:2019-22 , House Value&lt;=45L</t>
    </r>
  </si>
  <si>
    <t>A.G.I. @ 2023</t>
  </si>
  <si>
    <t>DHOBI</t>
  </si>
  <si>
    <r>
      <t xml:space="preserve">DDO </t>
    </r>
    <r>
      <rPr>
        <sz val="9"/>
        <color theme="1"/>
        <rFont val="Nirmala UI"/>
        <family val="2"/>
      </rPr>
      <t>Office</t>
    </r>
  </si>
  <si>
    <t>MANDAL RESOURCE CENTER</t>
  </si>
  <si>
    <r>
      <rPr>
        <b/>
        <sz val="9"/>
        <color theme="1"/>
        <rFont val="Nirmala UI"/>
        <family val="2"/>
      </rPr>
      <t xml:space="preserve">80EE  </t>
    </r>
    <r>
      <rPr>
        <sz val="9"/>
        <color theme="1"/>
        <rFont val="Nirmala UI"/>
        <family val="2"/>
      </rPr>
      <t xml:space="preserve"> : Interest on Home Loan in FY:2016-17 , House Value&lt;50L</t>
    </r>
  </si>
  <si>
    <t>A.G.I. @ 2024</t>
  </si>
  <si>
    <t>GPF/ZPPF</t>
  </si>
  <si>
    <r>
      <rPr>
        <b/>
        <sz val="9"/>
        <color theme="1"/>
        <rFont val="Nirmala UI"/>
        <family val="2"/>
      </rPr>
      <t xml:space="preserve">80E    </t>
    </r>
    <r>
      <rPr>
        <sz val="9"/>
        <color theme="1"/>
        <rFont val="Nirmala UI"/>
        <family val="2"/>
      </rPr>
      <t xml:space="preserve"> : Interest on Educational Loan</t>
    </r>
  </si>
  <si>
    <t>Surrender Leave 1 : 2023</t>
  </si>
  <si>
    <t>APGLI</t>
  </si>
  <si>
    <t>Surrender Leave 2 : 2024</t>
  </si>
  <si>
    <t>GIS</t>
  </si>
  <si>
    <t>Deduction for DISABLED (SELF) u/s 80U</t>
  </si>
  <si>
    <t>OLD Regime</t>
  </si>
  <si>
    <t>Releif &amp; Final Tax</t>
  </si>
  <si>
    <t>P.TAX</t>
  </si>
  <si>
    <t>MEDICAL INSURANCE PREMIUM u/s 80D</t>
  </si>
  <si>
    <t>NEW Regime</t>
  </si>
  <si>
    <t>E.H.F.(E.H.S)</t>
  </si>
  <si>
    <t>Owner Details for RENT RECEIPT</t>
  </si>
  <si>
    <t>DONATIONS OF CHARITABLE TRUST u/s 80G</t>
  </si>
  <si>
    <t>S.S.S.(L.I.C.)</t>
  </si>
  <si>
    <t>E.W.F. ►►</t>
  </si>
  <si>
    <t>S.W.F. ►►</t>
  </si>
  <si>
    <t>House No.</t>
  </si>
  <si>
    <t>80C SAVINGS TOTAL</t>
  </si>
  <si>
    <t>H.R.A.</t>
  </si>
  <si>
    <t>STREET</t>
  </si>
  <si>
    <t>YOU CAN INCREASE →</t>
  </si>
  <si>
    <t>Addl.HRA</t>
  </si>
  <si>
    <t>TOWN</t>
  </si>
  <si>
    <t>80CCD SAVINGS TOTAL</t>
  </si>
  <si>
    <t>H.R.A. Changed Date</t>
  </si>
  <si>
    <t>Additional H.R.A. Changed Date</t>
  </si>
  <si>
    <t>Conveyance or Reader  Allowance</t>
  </si>
  <si>
    <r>
      <t xml:space="preserve">Owner </t>
    </r>
    <r>
      <rPr>
        <sz val="9"/>
        <color theme="1"/>
        <rFont val="Nirmala UI"/>
        <family val="2"/>
      </rPr>
      <t>PAN</t>
    </r>
  </si>
  <si>
    <r>
      <t xml:space="preserve">Ramanjaneyulu Perumal     </t>
    </r>
    <r>
      <rPr>
        <sz val="10"/>
        <color rgb="FF3333FF"/>
        <rFont val="Narkisim"/>
        <family val="2"/>
        <charset val="177"/>
      </rPr>
      <t xml:space="preserve"> </t>
    </r>
    <r>
      <rPr>
        <sz val="11"/>
        <color rgb="FF3333FF"/>
        <rFont val="Nirmala UI"/>
        <family val="2"/>
      </rPr>
      <t>99 63 53 53 04</t>
    </r>
  </si>
  <si>
    <t>OFFICE :</t>
  </si>
  <si>
    <t>Mdl :</t>
  </si>
  <si>
    <t>EMP. Tr ID :</t>
  </si>
  <si>
    <t>REGIME</t>
  </si>
  <si>
    <t>Village :</t>
  </si>
  <si>
    <t>Dist :</t>
  </si>
  <si>
    <t>EMP. PAN :</t>
  </si>
  <si>
    <t>MONTH</t>
  </si>
  <si>
    <t>BASIC
PAY</t>
  </si>
  <si>
    <t>D.A.</t>
  </si>
  <si>
    <t>HMA
FPA</t>
  </si>
  <si>
    <t>ADDL
HRA</t>
  </si>
  <si>
    <t>P.H.A.</t>
  </si>
  <si>
    <t>R.A.
C.A.</t>
  </si>
  <si>
    <t>GROSS
SALARY</t>
  </si>
  <si>
    <t>G.I.S.</t>
  </si>
  <si>
    <t>E.H.F.</t>
  </si>
  <si>
    <t>EWF
SWF</t>
  </si>
  <si>
    <t>S.S.S.
(LIC)</t>
  </si>
  <si>
    <t>ADV.
TAX</t>
  </si>
  <si>
    <t>TOTAL
DEDs</t>
  </si>
  <si>
    <t>NET
SALARY</t>
  </si>
  <si>
    <t>HRA
%</t>
  </si>
  <si>
    <t>D.A.
%</t>
  </si>
  <si>
    <t>E.L.s</t>
  </si>
  <si>
    <t>AAS Arrs</t>
  </si>
  <si>
    <t>Tution Fees</t>
  </si>
  <si>
    <t>DA Arrs 1</t>
  </si>
  <si>
    <t>DA Arrs 2</t>
  </si>
  <si>
    <t>HRA Arrs</t>
  </si>
  <si>
    <t>INC. Arrs</t>
  </si>
  <si>
    <t>PRO. Arrs</t>
  </si>
  <si>
    <t>Old Arrears</t>
  </si>
  <si>
    <t/>
  </si>
  <si>
    <t>SIGNATURE OF THE DDO</t>
  </si>
  <si>
    <t>SIGNATURE OF THE EMPLOYEE</t>
  </si>
  <si>
    <t>Prepared by    :   Ramanjaneyulu PERUMAL       S.G.TEACHER       RAHIMANPURAM       9963535304</t>
  </si>
  <si>
    <t>FINANCIAL YEAR
2025 - 2026</t>
  </si>
  <si>
    <t>ANNEXURE_II</t>
  </si>
  <si>
    <t>ASSESSMENT YEAR
2026 - 2027</t>
  </si>
  <si>
    <t>RENT PAID minus 10% OF SALARY</t>
  </si>
  <si>
    <t>INCOME TAX CALCULATION</t>
  </si>
  <si>
    <t>X</t>
  </si>
  <si>
    <t>●</t>
  </si>
  <si>
    <t>Y</t>
  </si>
  <si>
    <t>(BP+DA) x 10% =</t>
  </si>
  <si>
    <t>X - Y =</t>
  </si>
  <si>
    <t>HRA EXEMPTION CALCULATION</t>
  </si>
  <si>
    <t>GROSS  SALARY</t>
  </si>
  <si>
    <t>A</t>
  </si>
  <si>
    <t>RECEIVED HRA =</t>
  </si>
  <si>
    <t>HRA Exemption as per eligibility U/s 10(13A)</t>
  </si>
  <si>
    <t>B</t>
  </si>
  <si>
    <t>ACTUAL HRA RECEIVED : (HRA + Addl. HRA)</t>
  </si>
  <si>
    <t>C</t>
  </si>
  <si>
    <t>(BP+DA)*40%=</t>
  </si>
  <si>
    <t>Rent paid (Minus) 10% of SALARY (=BP+DA)</t>
  </si>
  <si>
    <t>Minimum of ABC</t>
  </si>
  <si>
    <t>Rent paid - 10% =</t>
  </si>
  <si>
    <t>←  ←  ←  ←  ←</t>
  </si>
  <si>
    <t>↑↑</t>
  </si>
  <si>
    <r>
      <t xml:space="preserve">TOTAL SALARY </t>
    </r>
    <r>
      <rPr>
        <sz val="9"/>
        <color theme="1"/>
        <rFont val="Nirmala UI"/>
        <family val="2"/>
      </rPr>
      <t>(After H.R.A. EXEMPTION)</t>
    </r>
  </si>
  <si>
    <t>DEDUCTIONS  FROM  SALARY  INCOME</t>
  </si>
  <si>
    <t>a)</t>
  </si>
  <si>
    <r>
      <t xml:space="preserve">Conveyance  Allowance U/s </t>
    </r>
    <r>
      <rPr>
        <b/>
        <sz val="9"/>
        <color theme="1"/>
        <rFont val="Nirmala UI"/>
        <family val="2"/>
      </rPr>
      <t>10(14)(ii)</t>
    </r>
  </si>
  <si>
    <t>PHA + R.A. + DHOBI  (Exemption)</t>
  </si>
  <si>
    <t>b)</t>
  </si>
  <si>
    <r>
      <t xml:space="preserve">Standard Deduction U/s </t>
    </r>
    <r>
      <rPr>
        <b/>
        <sz val="9"/>
        <color theme="1"/>
        <rFont val="Nirmala UI"/>
        <family val="2"/>
      </rPr>
      <t>16(ia)</t>
    </r>
  </si>
  <si>
    <t>Old Reg. = 50000   New Reg. = 75000</t>
  </si>
  <si>
    <r>
      <t xml:space="preserve">Profession Tax          U/s </t>
    </r>
    <r>
      <rPr>
        <b/>
        <sz val="9"/>
        <color theme="1"/>
        <rFont val="Nirmala UI"/>
        <family val="2"/>
      </rPr>
      <t>16 (iii)</t>
    </r>
  </si>
  <si>
    <t xml:space="preserve">INCOME  FROM  SALARY </t>
  </si>
  <si>
    <t>FAMILY PENSION =</t>
  </si>
  <si>
    <t>Income From Pension</t>
  </si>
  <si>
    <t>INCOME / LOSS
from Let-out Property</t>
  </si>
  <si>
    <t>Exemption :: Limited to 25000 Rs</t>
  </si>
  <si>
    <t>INCOME FROM SALARY + OTHERS</t>
  </si>
  <si>
    <t>SAVINGS u/s 80C,80CCC,80CCD…Etc.</t>
  </si>
  <si>
    <t>SALARY DEDUCTION</t>
  </si>
  <si>
    <t>c)</t>
  </si>
  <si>
    <t>G.I.S.    ( Group Insurance Scheme )</t>
  </si>
  <si>
    <t>d)</t>
  </si>
  <si>
    <t>e)</t>
  </si>
  <si>
    <t>POSTAL LIFE INSURANCE (PLI/RPLI)</t>
  </si>
  <si>
    <t>f)</t>
  </si>
  <si>
    <t>g)</t>
  </si>
  <si>
    <t>S.B.I. LIFE INSURANCE</t>
  </si>
  <si>
    <t>h)</t>
  </si>
  <si>
    <t>i)</t>
  </si>
  <si>
    <t>j)</t>
  </si>
  <si>
    <t>k)</t>
  </si>
  <si>
    <t>l)</t>
  </si>
  <si>
    <t>m)</t>
  </si>
  <si>
    <t>TOTAL SAVINGS U/s 80C</t>
  </si>
  <si>
    <t xml:space="preserve"> (Limited to 1,50,000)</t>
  </si>
  <si>
    <t>National Pension Scheme    U/s 80CCD (1)(B)</t>
  </si>
  <si>
    <t xml:space="preserve"> (Limited to    50,000)</t>
  </si>
  <si>
    <t>CPS DEDUCTION SPLITTING</t>
  </si>
  <si>
    <t>National Pension Scheme    U/s 80CCD (2)</t>
  </si>
  <si>
    <t>Employer's Matching Contribution</t>
  </si>
  <si>
    <t xml:space="preserve">GROSS  TOTAL  INCOME </t>
  </si>
  <si>
    <t>DEDUCTIONS    U/s 80D,80E,80G,80U,24(B)</t>
  </si>
  <si>
    <t>E.W.F &amp; S.W.F &amp; CMRF            U/s 80(G)</t>
  </si>
  <si>
    <t>80CCD (2)      =</t>
  </si>
  <si>
    <t>FOR YOUR REFERENCE ONLY</t>
  </si>
  <si>
    <t>GROSS SALARY</t>
  </si>
  <si>
    <t>HRA EXEMPTION</t>
  </si>
  <si>
    <t>Other INCOME/LOSS</t>
  </si>
  <si>
    <t>D</t>
  </si>
  <si>
    <t>S.D. + C.A. + P.T.</t>
  </si>
  <si>
    <t>E</t>
  </si>
  <si>
    <t>80C TOTAL</t>
  </si>
  <si>
    <t>Medical Insurance Premiums     80D</t>
  </si>
  <si>
    <t>Self/Spouse/Children/Dependents</t>
  </si>
  <si>
    <t>F</t>
  </si>
  <si>
    <t>80CCD (1)(B)</t>
  </si>
  <si>
    <t>Donations of Charitable Trust    80G</t>
  </si>
  <si>
    <t>Donation for ______________________</t>
  </si>
  <si>
    <t>G</t>
  </si>
  <si>
    <t>80CCD (2)</t>
  </si>
  <si>
    <t>Employee Health Scheme (EHS) 80D</t>
  </si>
  <si>
    <t>H</t>
  </si>
  <si>
    <t>80D,80E,80G,80U,24B</t>
  </si>
  <si>
    <t>DEDUCTIONS U/s 80D,80E,80G,80U,24(B)</t>
  </si>
  <si>
    <t>TOTAL : 10(a) to 10(g)</t>
  </si>
  <si>
    <t>NET</t>
  </si>
  <si>
    <t>TAXABLE INCOME</t>
  </si>
  <si>
    <t>Rounded to nearest Rs.10 u/s 288-A</t>
  </si>
  <si>
    <t>↔</t>
  </si>
  <si>
    <t>Roundoff NET =</t>
  </si>
  <si>
    <t>TAX ON INCOME</t>
  </si>
  <si>
    <t>Income Tax Slab</t>
  </si>
  <si>
    <t>Income</t>
  </si>
  <si>
    <t>Rate</t>
  </si>
  <si>
    <t>Tax Rebate in New Regime</t>
  </si>
  <si>
    <t>Tax on Taxable Income</t>
  </si>
  <si>
    <t>֍</t>
  </si>
  <si>
    <t>TAX ON TOTAL INCOME</t>
  </si>
  <si>
    <t>Excess taxable Income</t>
  </si>
  <si>
    <t>Tax Rebate  (B - C)</t>
  </si>
  <si>
    <t>TAX ON  INCOME  (After TAX REBATE)</t>
  </si>
  <si>
    <t>ADD : SURCHARGE (After Marginal Relief)</t>
  </si>
  <si>
    <r>
      <t>ADD : Health and Education</t>
    </r>
    <r>
      <rPr>
        <b/>
        <sz val="9"/>
        <color theme="1"/>
        <rFont val="Nirmala UI"/>
        <family val="2"/>
      </rPr>
      <t xml:space="preserve"> Cess @ 4%</t>
    </r>
  </si>
  <si>
    <t>TAX on INCOME  after adding CESS</t>
  </si>
  <si>
    <r>
      <t xml:space="preserve">LESS : TAX RELIEF under </t>
    </r>
    <r>
      <rPr>
        <b/>
        <sz val="10"/>
        <color theme="1"/>
        <rFont val="Nirmala UI"/>
        <family val="2"/>
      </rPr>
      <t>section 89(1)</t>
    </r>
  </si>
  <si>
    <t>LESS : TOTAL ADVANCE TAX PAID</t>
  </si>
  <si>
    <t>From Mar - 2025 to Feb - 2026</t>
  </si>
  <si>
    <r>
      <t xml:space="preserve">TAX TO BE PAID NOW  </t>
    </r>
    <r>
      <rPr>
        <b/>
        <sz val="9"/>
        <color theme="1"/>
        <rFont val="Nirmala UI"/>
        <family val="2"/>
      </rPr>
      <t>(FOR F.Y. : 2025-2026)</t>
    </r>
  </si>
  <si>
    <t>[ vide rule31(1)(a) of I.T. RULES 1962 ]</t>
  </si>
  <si>
    <t>certificate under section 203 of the Income_tax Act , 1961.</t>
  </si>
  <si>
    <t>for Tax deducted at source from income chargeable under the head "salaries"</t>
  </si>
  <si>
    <t>NAME AND ADDRESS OF THE EMPLOYER</t>
  </si>
  <si>
    <t>NAME AND ADDRESS OF THE EMPLOYEE</t>
  </si>
  <si>
    <t>EMPLOYEE PAN</t>
  </si>
  <si>
    <t>EMPLOYEE TREASURY ID</t>
  </si>
  <si>
    <t>Acknowledgement Nos.of all quarterly statements of TDS under sub-section 200 as provided by TIN facilitation center or NSDL web-site</t>
  </si>
  <si>
    <t xml:space="preserve">    Quarter - No.</t>
  </si>
  <si>
    <t>Acknowledge. No</t>
  </si>
  <si>
    <t>Amount</t>
  </si>
  <si>
    <t>Period</t>
  </si>
  <si>
    <t>Assessment
year</t>
  </si>
  <si>
    <t>Quarter - 1</t>
  </si>
  <si>
    <t>FROM</t>
  </si>
  <si>
    <t>To</t>
  </si>
  <si>
    <t>Quarter - 2</t>
  </si>
  <si>
    <t>2026-2027</t>
  </si>
  <si>
    <t>Quarter - 3</t>
  </si>
  <si>
    <t>Quarter - 4</t>
  </si>
  <si>
    <t>DETAILS OF SALARY PAID AND ANY OTHER INCOME AND TAX DEDUCTED</t>
  </si>
  <si>
    <t xml:space="preserve">GROSS  SALARY </t>
  </si>
  <si>
    <t>Salary as per provisions contained in section 17 (1)</t>
  </si>
  <si>
    <t>Value of percuisites    under section 17(2)</t>
  </si>
  <si>
    <t>Profits in lieu of salary under section 17(3)</t>
  </si>
  <si>
    <t>TOTAL  (a +b+ c)</t>
  </si>
  <si>
    <t>LESS :  Allowance to the extent exempted U/s 10</t>
  </si>
  <si>
    <t>HOUSE RENT ALLOWANCE U/s 10(13)(A)</t>
  </si>
  <si>
    <t>Conveyance  Allowance U/s 10(14)(ii)</t>
  </si>
  <si>
    <t xml:space="preserve">BALANCE </t>
  </si>
  <si>
    <t>(1-2)</t>
  </si>
  <si>
    <t>LESS :  Allowance to the extent exempted U/s 16</t>
  </si>
  <si>
    <t>Standard Deduction U/s 16(ia)</t>
  </si>
  <si>
    <t>Profession Tax            U/s 16 (iii)</t>
  </si>
  <si>
    <t>Aggreate of 4 (a)&amp;(b)</t>
  </si>
  <si>
    <t>4(a)+4(b)</t>
  </si>
  <si>
    <t>INCOME UNDER THE HEAD SALARIES</t>
  </si>
  <si>
    <t>(3-5)</t>
  </si>
  <si>
    <t>Any other income reported by the employee</t>
  </si>
  <si>
    <t>(6+7)</t>
  </si>
  <si>
    <t>Deductions   Under    Chapter VI A</t>
  </si>
  <si>
    <t>A)</t>
  </si>
  <si>
    <t>Under Sections 80C,80CCC,80CCD,80CCF</t>
  </si>
  <si>
    <t>Gross Amount</t>
  </si>
  <si>
    <t>Qualify Amount</t>
  </si>
  <si>
    <t>80C</t>
  </si>
  <si>
    <t>TOTAL ( Max.Limit : Rs.1,50,000 )</t>
  </si>
  <si>
    <t>80CCD(1)(B)</t>
  </si>
  <si>
    <t xml:space="preserve">80CCD (2)    </t>
  </si>
  <si>
    <t>TOTAL DEDUCTION :: U/s 80C + U/s 80CCD (1)(B) +  80CCD (2)</t>
  </si>
  <si>
    <t>(8-9)</t>
  </si>
  <si>
    <t>B)</t>
  </si>
  <si>
    <t>Other Sections Under Chapter VI A</t>
  </si>
  <si>
    <t>80G</t>
  </si>
  <si>
    <t xml:space="preserve">24B  </t>
  </si>
  <si>
    <t xml:space="preserve">Interest on Housing Loan Advance U/s 24B  </t>
  </si>
  <si>
    <t>80EEA</t>
  </si>
  <si>
    <t>interest on Home Loan in FY:2019-20 , House Value&lt;=45L</t>
  </si>
  <si>
    <t xml:space="preserve">80EE </t>
  </si>
  <si>
    <t>interest on Home Loan in FY:2016-17 , House Value&lt;50L</t>
  </si>
  <si>
    <t xml:space="preserve">80E  </t>
  </si>
  <si>
    <t>Interest on Educational Loan</t>
  </si>
  <si>
    <t xml:space="preserve"> 80U</t>
  </si>
  <si>
    <t>80D</t>
  </si>
  <si>
    <t xml:space="preserve">Aggregate of Deductible Amount Under Chapter VIA(A+B) </t>
  </si>
  <si>
    <r>
      <t xml:space="preserve">TOTAL INCOME </t>
    </r>
    <r>
      <rPr>
        <b/>
        <sz val="8"/>
        <color indexed="8"/>
        <rFont val="Century Gothic"/>
        <family val="2"/>
      </rPr>
      <t>( Rounded to nearest Rs.10 u/s 288-A )</t>
    </r>
  </si>
  <si>
    <r>
      <t xml:space="preserve">TOTAL INCOME  </t>
    </r>
    <r>
      <rPr>
        <b/>
        <sz val="9"/>
        <rFont val="Century Gothic"/>
        <family val="2"/>
      </rPr>
      <t>(NET TAXABLE INCOME)</t>
    </r>
  </si>
  <si>
    <t>( 8-9 )</t>
  </si>
  <si>
    <t>TOTAL TAX  AFTER TAX REBATE</t>
  </si>
  <si>
    <t>(On S.No.14)</t>
  </si>
  <si>
    <t>TAX PAYABLE AFTER CESS</t>
  </si>
  <si>
    <t>(13+14+15)</t>
  </si>
  <si>
    <t>LESS: Relief under section 89(1) (attach details) &amp; (FORM No. 10E)</t>
  </si>
  <si>
    <t>TAX PAYABLE AFTER REBATE &amp; RELIEF</t>
  </si>
  <si>
    <t>(16-17)</t>
  </si>
  <si>
    <t>(a)</t>
  </si>
  <si>
    <t>TAX DEDUCTED AT SOURCE u/s 192(1)</t>
  </si>
  <si>
    <t>(b)</t>
  </si>
  <si>
    <t>Tax paid by the employer on behalf of the employee u/s 192(1A) on perquisited u/s 17(2)</t>
  </si>
  <si>
    <t>TAX PAYABLE</t>
  </si>
  <si>
    <t>DETAILS OF TAX DEDUCTED AND DEPOSITED IN THE CENTRAL GOVERNMENT ACCOUNT THROUGH BOOK ADJUSTMENT</t>
  </si>
  <si>
    <t>(The employer is to provide transaction - wise details of tax deducted and deposited)</t>
  </si>
  <si>
    <t>S.No.</t>
  </si>
  <si>
    <t>Quarter(s)</t>
  </si>
  <si>
    <t>Salary
Month</t>
  </si>
  <si>
    <t>Tax 
Deposited Month</t>
  </si>
  <si>
    <t>Total Tax
Deposited
( Rs. )</t>
  </si>
  <si>
    <t>Receipt No.s
of Form
No.24G</t>
  </si>
  <si>
    <t>DDO  S.No.
in Form
No.24G</t>
  </si>
  <si>
    <t>Date of
transfer voucher
DD/MM/YYYY</t>
  </si>
  <si>
    <t>Status of
matching with
Form No. 24 G</t>
  </si>
  <si>
    <t>Q.1</t>
  </si>
  <si>
    <t>Q.2</t>
  </si>
  <si>
    <t>Q.3</t>
  </si>
  <si>
    <t>Q.4</t>
  </si>
  <si>
    <t xml:space="preserve">TOTAL : </t>
  </si>
  <si>
    <t>VERIFICATION</t>
  </si>
  <si>
    <t xml:space="preserve"> </t>
  </si>
  <si>
    <t xml:space="preserve">              </t>
  </si>
  <si>
    <t>PLACE :</t>
  </si>
  <si>
    <t>Signature of the person responsible for deduction of tax</t>
  </si>
  <si>
    <t>DATE   :</t>
  </si>
  <si>
    <t>FULL NAME   :</t>
  </si>
  <si>
    <t>DESIGNATION :</t>
  </si>
  <si>
    <t>MANDAL :</t>
  </si>
  <si>
    <t>DISTRICT :</t>
  </si>
  <si>
    <t xml:space="preserve">1) </t>
  </si>
  <si>
    <t>Aggregate amount deductable under section 80C limit Rs. 1,50,000.  In addition to Rs. 50000 U/s 80CCD(1)(B)</t>
  </si>
  <si>
    <t xml:space="preserve">2) </t>
  </si>
  <si>
    <t>Aggregate amount deductable under section 80C , 80CCC , 80CCD shall not exceed 2 lakh rupees.</t>
  </si>
  <si>
    <t>S</t>
  </si>
  <si>
    <t>(Under Section 1 (13-A) of Income Tax Act)</t>
  </si>
  <si>
    <t>HOUSE ADDRESS :</t>
  </si>
  <si>
    <r>
      <t xml:space="preserve">         </t>
    </r>
    <r>
      <rPr>
        <b/>
        <sz val="14"/>
        <color theme="1"/>
        <rFont val="Calibri"/>
        <family val="2"/>
      </rPr>
      <t>ᴥ</t>
    </r>
  </si>
  <si>
    <t>ü</t>
  </si>
  <si>
    <t>Signature of the Tenant</t>
  </si>
  <si>
    <t>Signature of the House Owner</t>
  </si>
  <si>
    <t>______________________________________________________________________________</t>
  </si>
  <si>
    <t>(See rule 26C)</t>
  </si>
  <si>
    <t>Statement showing particulars of claims by an employee for deduction of tax under section 192</t>
  </si>
  <si>
    <t>Details of claims and evidence thereof  .........................</t>
  </si>
  <si>
    <t>Nature of claim</t>
  </si>
  <si>
    <t>Amount (Rs.)</t>
  </si>
  <si>
    <t>Evidence / particulars</t>
  </si>
  <si>
    <t>(1)</t>
  </si>
  <si>
    <t>(2)</t>
  </si>
  <si>
    <t>(3)</t>
  </si>
  <si>
    <t>(4)</t>
  </si>
  <si>
    <t>House Rent Allowance:</t>
  </si>
  <si>
    <t xml:space="preserve">(ii) Name of the landlord             :                                      Sri / Smt.  : </t>
  </si>
  <si>
    <t>(iv) Permanent Account Number of the landlord</t>
  </si>
  <si>
    <t>Leave travel concessions or assistance</t>
  </si>
  <si>
    <t>Deduction of interest on borrowing:</t>
  </si>
  <si>
    <t>(i) Interest payable/paid to the lender</t>
  </si>
  <si>
    <t>(ii) Name of the lender</t>
  </si>
  <si>
    <t>(iii) Address of the lender</t>
  </si>
  <si>
    <t>(iv) Permanent Account Number of the lender</t>
  </si>
  <si>
    <t xml:space="preserve">(a)   Financial Institutions(if available)  </t>
  </si>
  <si>
    <t>(b)   Employer(if available)</t>
  </si>
  <si>
    <t>(c)    Others</t>
  </si>
  <si>
    <t>Deduction under Chapter VI-A</t>
  </si>
  <si>
    <t>(A)</t>
  </si>
  <si>
    <t>Section 80C,80CCC and 80CCD</t>
  </si>
  <si>
    <t xml:space="preserve">   (i) Section 80C</t>
  </si>
  <si>
    <t xml:space="preserve">(c) </t>
  </si>
  <si>
    <t>(d)</t>
  </si>
  <si>
    <t>80CC</t>
  </si>
  <si>
    <t>(e)</t>
  </si>
  <si>
    <t>(f)</t>
  </si>
  <si>
    <t>(g)</t>
  </si>
  <si>
    <t>(h)</t>
  </si>
  <si>
    <t>(i)</t>
  </si>
  <si>
    <t>(j)</t>
  </si>
  <si>
    <t>(k)</t>
  </si>
  <si>
    <t>80CCC</t>
  </si>
  <si>
    <t>(l)</t>
  </si>
  <si>
    <t>80CCD</t>
  </si>
  <si>
    <t>(m)</t>
  </si>
  <si>
    <t>(B)</t>
  </si>
  <si>
    <t>Other sections  under Chapter VI-A.
      (e.g. 80E, 80G, 80TTA, 80TTB etc.)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</si>
  <si>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</si>
  <si>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</si>
  <si>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</si>
  <si>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</si>
  <si>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</si>
  <si>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</si>
  <si>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</si>
  <si>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</si>
  <si>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</si>
  <si>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</si>
  <si>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80CCD (1B)</t>
  </si>
  <si>
    <t>(xii)</t>
  </si>
  <si>
    <t xml:space="preserve">80CCD (2) </t>
  </si>
  <si>
    <t>Verification</t>
  </si>
  <si>
    <t xml:space="preserve">PLACE : </t>
  </si>
  <si>
    <t xml:space="preserve">DATE  : </t>
  </si>
  <si>
    <t>(Signature of the employee)</t>
  </si>
  <si>
    <t>Design :</t>
  </si>
  <si>
    <t>F.Y. 2024-25</t>
  </si>
  <si>
    <t>F.Y. Wise Tax Regime ,Taxable income and Received arrears ను Fill చెయ్యండి</t>
  </si>
  <si>
    <r>
      <rPr>
        <b/>
        <sz val="16"/>
        <color theme="1"/>
        <rFont val="Nirmala UI"/>
        <family val="2"/>
      </rPr>
      <t>10E Sheet</t>
    </r>
    <r>
      <rPr>
        <sz val="16"/>
        <color theme="1"/>
        <rFont val="Nirmala UI"/>
        <family val="2"/>
      </rPr>
      <t xml:space="preserve"> లో 2 Pages ని </t>
    </r>
    <r>
      <rPr>
        <b/>
        <sz val="16"/>
        <color theme="1"/>
        <rFont val="Nirmala UI"/>
        <family val="2"/>
      </rPr>
      <t>Print</t>
    </r>
    <r>
      <rPr>
        <sz val="16"/>
        <color theme="1"/>
        <rFont val="Nirmala UI"/>
        <family val="2"/>
      </rPr>
      <t xml:space="preserve"> తీసుకోండి.</t>
    </r>
  </si>
  <si>
    <t>NEW REGIME - WITH ARREARS</t>
  </si>
  <si>
    <r>
      <t xml:space="preserve">OLD REGIME - WITH ARREARS </t>
    </r>
    <r>
      <rPr>
        <b/>
        <sz val="20"/>
        <color rgb="FF0000FF"/>
        <rFont val="Narkisim"/>
        <family val="2"/>
        <charset val="177"/>
      </rPr>
      <t>(Male)</t>
    </r>
  </si>
  <si>
    <r>
      <t xml:space="preserve">OLD REGIME - WITH ARREARS </t>
    </r>
    <r>
      <rPr>
        <b/>
        <sz val="20"/>
        <color rgb="FFFF0000"/>
        <rFont val="Narkisim"/>
        <family val="2"/>
        <charset val="177"/>
      </rPr>
      <t>(Female)</t>
    </r>
  </si>
  <si>
    <t>MALE</t>
  </si>
  <si>
    <r>
      <t xml:space="preserve">TABLE  :  A of 10 E  </t>
    </r>
    <r>
      <rPr>
        <b/>
        <sz val="17"/>
        <color rgb="FF3333FF"/>
        <rFont val="Nirmala UI"/>
        <family val="2"/>
      </rPr>
      <t>(FY 2024-25)</t>
    </r>
  </si>
  <si>
    <r>
      <t xml:space="preserve">ANNEXURE-I    </t>
    </r>
    <r>
      <rPr>
        <b/>
        <sz val="16"/>
        <color theme="1"/>
        <rFont val="Nirmala UI"/>
        <family val="2"/>
      </rPr>
      <t xml:space="preserve"> [See item 2 of Form No.10E]</t>
    </r>
  </si>
  <si>
    <t>With
Arrears</t>
  </si>
  <si>
    <t>TAXABLE
INCOME</t>
  </si>
  <si>
    <t>TAX (MALE)
(All Age group)</t>
  </si>
  <si>
    <t>REBATE</t>
  </si>
  <si>
    <t>TAX minus
REBATE</t>
  </si>
  <si>
    <t>CESS</t>
  </si>
  <si>
    <t>TOTAL
TAX</t>
  </si>
  <si>
    <t>TAX (MALE)
(Age &lt;=60Y)</t>
  </si>
  <si>
    <t>TAX (FEMALE)
(Age &lt;=60Y)</t>
  </si>
  <si>
    <t>PERUMAL</t>
  </si>
  <si>
    <t>(C)</t>
  </si>
  <si>
    <t>(D)</t>
  </si>
  <si>
    <t>(E)</t>
  </si>
  <si>
    <t>(5)</t>
  </si>
  <si>
    <t>(6)</t>
  </si>
  <si>
    <t>FINANCIAL
YEAR (F.Y.)</t>
  </si>
  <si>
    <t>RECEIVED
ARREARS</t>
  </si>
  <si>
    <t>TOTAL (2+3)</t>
  </si>
  <si>
    <t>TAX (on 2)</t>
  </si>
  <si>
    <t>TAX (on 4)</t>
  </si>
  <si>
    <r>
      <t xml:space="preserve">Diff </t>
    </r>
    <r>
      <rPr>
        <b/>
        <sz val="12"/>
        <color theme="1"/>
        <rFont val="Calibri"/>
        <family val="2"/>
        <scheme val="minor"/>
      </rPr>
      <t>(6 - 5)</t>
    </r>
  </si>
  <si>
    <r>
      <rPr>
        <b/>
        <sz val="18"/>
        <color theme="1"/>
        <rFont val="Calibri"/>
        <family val="2"/>
        <scheme val="minor"/>
      </rPr>
      <t>Particulars</t>
    </r>
    <r>
      <rPr>
        <b/>
        <sz val="14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[ARREARS or ADVANCE SALARY]</t>
    </r>
  </si>
  <si>
    <r>
      <t>Amount (</t>
    </r>
    <r>
      <rPr>
        <b/>
        <i/>
        <sz val="11"/>
        <color theme="1"/>
        <rFont val="Calibri"/>
        <family val="2"/>
      </rPr>
      <t>₹)</t>
    </r>
  </si>
  <si>
    <t>NEW REGIME</t>
  </si>
  <si>
    <t>(B) - (C)</t>
  </si>
  <si>
    <t>(C) + (D)</t>
  </si>
  <si>
    <t>OLD REGIME</t>
  </si>
  <si>
    <t>(2)- (3)</t>
  </si>
  <si>
    <t>(4) + (5)</t>
  </si>
  <si>
    <t xml:space="preserve">Total income
</t>
  </si>
  <si>
    <t>(excluding salary received
in arrears or advance)</t>
  </si>
  <si>
    <t>FY 2010-11</t>
  </si>
  <si>
    <t>Salary received in arrears or advance</t>
  </si>
  <si>
    <t>FY 2011-12</t>
  </si>
  <si>
    <t>Total income</t>
  </si>
  <si>
    <t>(as increased by salary received in arrears or advance)</t>
  </si>
  <si>
    <t>FY 2012-13</t>
  </si>
  <si>
    <r>
      <t xml:space="preserve">Tax on total income  [as per item 3]
</t>
    </r>
    <r>
      <rPr>
        <sz val="10"/>
        <color theme="1"/>
        <rFont val="Nirmala UI"/>
        <family val="2"/>
      </rPr>
      <t>[Less Tax Rebate]</t>
    </r>
    <r>
      <rPr>
        <sz val="11"/>
        <color theme="1"/>
        <rFont val="Nirmala UI"/>
        <family val="2"/>
      </rPr>
      <t xml:space="preserve"> [Add item 1 &amp; item 2]</t>
    </r>
  </si>
  <si>
    <t>FY 2013-14</t>
  </si>
  <si>
    <r>
      <t xml:space="preserve">Tax on total income  [as per item 1]
</t>
    </r>
    <r>
      <rPr>
        <sz val="10"/>
        <color theme="1"/>
        <rFont val="Nirmala UI"/>
        <family val="2"/>
      </rPr>
      <t>[Less Tax Rebate]</t>
    </r>
  </si>
  <si>
    <t>FY 2014-15</t>
  </si>
  <si>
    <t>Tax on salary received in arrears or advance</t>
  </si>
  <si>
    <t xml:space="preserve"> [Difference of item 4 and item 5]</t>
  </si>
  <si>
    <t>FY 2015-16</t>
  </si>
  <si>
    <t>Tax computed in accordance with Table "A"</t>
  </si>
  <si>
    <t>[Brought from column 7 of Table A]</t>
  </si>
  <si>
    <t>FY 2016-17</t>
  </si>
  <si>
    <r>
      <rPr>
        <b/>
        <sz val="14"/>
        <color theme="1"/>
        <rFont val="Narkisim"/>
        <family val="2"/>
        <charset val="177"/>
      </rPr>
      <t>Relief u/s 89(1)</t>
    </r>
    <r>
      <rPr>
        <b/>
        <sz val="12"/>
        <color theme="1"/>
        <rFont val="Nirmala UI"/>
        <family val="2"/>
      </rPr>
      <t xml:space="preserve"> </t>
    </r>
    <r>
      <rPr>
        <sz val="10"/>
        <color theme="1"/>
        <rFont val="Nirmala UI"/>
        <family val="2"/>
      </rPr>
      <t>Indicate diff. between the amounts mentioned against item 6 &amp; 7</t>
    </r>
  </si>
  <si>
    <t>FY 2017-18</t>
  </si>
  <si>
    <t>FY 2018-19</t>
  </si>
  <si>
    <r>
      <t xml:space="preserve">YEAR WISE TAX CALCULATION , TAX DIFFERENCE , TAX RELIEF కి
సంబంధించిన లెక్కింపు  CORRECT గా ఉందా లేదా అనే
CLARITY కోసం TAX EXPERT ను సంప్రదించండి.
</t>
    </r>
    <r>
      <rPr>
        <sz val="15"/>
        <color rgb="FF4A0EF2"/>
        <rFont val="Nirmala UI"/>
        <family val="2"/>
      </rPr>
      <t>(లేదా)</t>
    </r>
    <r>
      <rPr>
        <sz val="15"/>
        <color theme="1"/>
        <rFont val="Nirmala UI"/>
        <family val="2"/>
      </rPr>
      <t xml:space="preserve">  </t>
    </r>
    <r>
      <rPr>
        <sz val="15"/>
        <color rgb="FF4A0EF2"/>
        <rFont val="Nirmala UI"/>
        <family val="2"/>
      </rPr>
      <t>మీకు మీరే ఒకటికి రెండుసార్లు CHECK చెయ్యండి.</t>
    </r>
  </si>
  <si>
    <t>FY 2019-20</t>
  </si>
  <si>
    <t>FY 2020-21</t>
  </si>
  <si>
    <t>FY 2021-22</t>
  </si>
  <si>
    <t>FY 2022-23</t>
  </si>
  <si>
    <t>ITR e-filing చెయ్యడానికి ముందే 10E FORM ను
ONLINE లో SUBMIT చెయ్యాల్సి ఉంటుంది.</t>
  </si>
  <si>
    <t>FY 2023-24</t>
  </si>
  <si>
    <t>t</t>
  </si>
  <si>
    <t>2024-2025</t>
  </si>
  <si>
    <t>FY 2024-25</t>
  </si>
  <si>
    <t>S. No.
1 to 14</t>
  </si>
  <si>
    <t>Prepared by :   Ramanjaneyulu PERUMAL (S.G.Teacher) Bethamcherla Mandal (99 63 53 53 04)</t>
  </si>
  <si>
    <r>
      <t xml:space="preserve">NEW REGIME - </t>
    </r>
    <r>
      <rPr>
        <b/>
        <sz val="24"/>
        <color rgb="FFFF0000"/>
        <rFont val="Narkisim"/>
        <family val="2"/>
        <charset val="177"/>
      </rPr>
      <t>WITHout</t>
    </r>
    <r>
      <rPr>
        <b/>
        <sz val="24"/>
        <color theme="1"/>
        <rFont val="Narkisim"/>
        <family val="2"/>
        <charset val="177"/>
      </rPr>
      <t xml:space="preserve"> ARREARS</t>
    </r>
  </si>
  <si>
    <r>
      <t xml:space="preserve">OLD REGIME - </t>
    </r>
    <r>
      <rPr>
        <b/>
        <sz val="20"/>
        <color rgb="FFFF0000"/>
        <rFont val="Narkisim"/>
        <family val="2"/>
        <charset val="177"/>
      </rPr>
      <t>WITHout</t>
    </r>
    <r>
      <rPr>
        <b/>
        <sz val="20"/>
        <color theme="1"/>
        <rFont val="Narkisim"/>
        <family val="2"/>
        <charset val="177"/>
      </rPr>
      <t xml:space="preserve"> ARREARS</t>
    </r>
    <r>
      <rPr>
        <b/>
        <sz val="20"/>
        <color rgb="FF0000FF"/>
        <rFont val="Narkisim"/>
        <family val="2"/>
        <charset val="177"/>
      </rPr>
      <t xml:space="preserve"> (Male)</t>
    </r>
  </si>
  <si>
    <r>
      <t xml:space="preserve">OLD REGIME - </t>
    </r>
    <r>
      <rPr>
        <b/>
        <sz val="19"/>
        <color rgb="FFFF0000"/>
        <rFont val="Narkisim"/>
        <family val="2"/>
        <charset val="177"/>
      </rPr>
      <t>WITHout</t>
    </r>
    <r>
      <rPr>
        <b/>
        <sz val="19"/>
        <color theme="1"/>
        <rFont val="Narkisim"/>
        <family val="2"/>
        <charset val="177"/>
      </rPr>
      <t xml:space="preserve"> ARREARS </t>
    </r>
    <r>
      <rPr>
        <b/>
        <sz val="19"/>
        <color rgb="FFFF0000"/>
        <rFont val="Narkisim"/>
        <family val="2"/>
        <charset val="177"/>
      </rPr>
      <t>(Female)</t>
    </r>
  </si>
  <si>
    <t>Without
Arrears</t>
  </si>
  <si>
    <t>Relief</t>
  </si>
  <si>
    <t xml:space="preserve"> u/s 89(1)</t>
  </si>
  <si>
    <t>minus</t>
  </si>
  <si>
    <t>=</t>
  </si>
  <si>
    <t>10E FORM మరియు e-filing Submission తర్వాత TAX RELIEF amount ను REFUND గా పొందుతారు.</t>
  </si>
  <si>
    <t>.</t>
  </si>
  <si>
    <t>FORM NO.10E</t>
  </si>
  <si>
    <t>[ See rule 21AA ]</t>
  </si>
  <si>
    <t>Name and address of the Employee</t>
  </si>
  <si>
    <t>Permanent Account Number</t>
  </si>
  <si>
    <t>Residential status</t>
  </si>
  <si>
    <t>PERMANENT RESIDENT</t>
  </si>
  <si>
    <t>Particulars of income referred to in rule 21A of the Income Tax rules, 1962,
during the previous year relevent to Assessment year 2025-2026.</t>
  </si>
  <si>
    <t>a.</t>
  </si>
  <si>
    <t>Salary received in arrears or in advance in accordance with the provisions of sub-rule (2) of rule 21A</t>
  </si>
  <si>
    <t>b.</t>
  </si>
  <si>
    <t>Pament in the nature of gratuity in respect of past services, extending over a period of not less than 5 years in accordance with the provisions of sub-rule (3) of rule 21A</t>
  </si>
  <si>
    <t>NOT APPLICABLE</t>
  </si>
  <si>
    <t>c.</t>
  </si>
  <si>
    <t>Payment in the nature of compensation from the employer or former employer at or in connection with termination of employment after continuous service of not less than 3 years or where the unexpired portion of term of employment is also not less than 3 years in accordancewith the provisions of sub rule (4) of the 21A</t>
  </si>
  <si>
    <t>d.</t>
  </si>
  <si>
    <t>Payment in commutation of pension in accordance with the provisions of sub-rule (5) of rule 21A</t>
  </si>
  <si>
    <t>Detailed particulars of payments refered to above may be given in Annexure-I, II, IIA, III, or IV, as the case may be</t>
  </si>
  <si>
    <t>Annexure-I</t>
  </si>
  <si>
    <t>Signature of the employee</t>
  </si>
  <si>
    <t>Verified today, the</t>
  </si>
  <si>
    <t>(See item 2 of Form No. 10E)</t>
  </si>
  <si>
    <t>ARREARS OR ADVANCE SALARY</t>
  </si>
  <si>
    <t>Total income (excluding salary received in arrears or advance)</t>
  </si>
  <si>
    <t>Total income (as increased by salary received in arrears or advance)</t>
  </si>
  <si>
    <t>Tax on total income (as per item 3)</t>
  </si>
  <si>
    <t>Tax on total income (as per item 1)</t>
  </si>
  <si>
    <t>Tax on salary received in arrears or advance  (Difference of item 4 and item 5)</t>
  </si>
  <si>
    <t>Tax computed in accordance with table "A"  (Brought from column 7 of Table "A")</t>
  </si>
  <si>
    <t>Relief u/s 89(1) (Indicate difference between the amounts mentioned against item 6 &amp; item 7)</t>
  </si>
  <si>
    <t>TABLE "A"</t>
  </si>
  <si>
    <t>{See item 7 of Annexure I}</t>
  </si>
  <si>
    <t>Previous Year(s)
Financial Years</t>
  </si>
  <si>
    <t>REGIME (OLD or NEW)</t>
  </si>
  <si>
    <t>Total income of the relevent previous year (Rs.)</t>
  </si>
  <si>
    <t>Salary received in arrears or advance relating to the previous year as mentioned in column(1) (Rs)</t>
  </si>
  <si>
    <t>Total income
(as increased
by salary received
in arrears or advance
of the relevent
previous year mentioned
in column 1 (Rs.)</t>
  </si>
  <si>
    <t>Tax on total income
{as per column (2)} (Rs.)
After Rebate &amp;
Including Education Cess</t>
  </si>
  <si>
    <t>Tax on total income
{as per column (4)} (Rs.)
After Rebate &amp;
Including Education Cess</t>
  </si>
  <si>
    <t>Difference in tax
{amount under column (6)
minus
 amount under column (5)}
(Rs.)</t>
  </si>
  <si>
    <t xml:space="preserve">AGE &lt;=60 </t>
  </si>
  <si>
    <t>MARGINAL</t>
  </si>
  <si>
    <t>AUTOMATIC</t>
  </si>
  <si>
    <t>BP_2022</t>
  </si>
  <si>
    <t>BP_2023</t>
  </si>
  <si>
    <t>AAS</t>
  </si>
  <si>
    <t>BP_2024</t>
  </si>
  <si>
    <t>BASIC</t>
  </si>
  <si>
    <t>INC</t>
  </si>
  <si>
    <t>A.G.I. BP</t>
  </si>
  <si>
    <t>A.A.S. BP</t>
  </si>
  <si>
    <t>FINAL BP</t>
  </si>
  <si>
    <t>DA 1</t>
  </si>
  <si>
    <t>DA 2</t>
  </si>
  <si>
    <t>DA FINAL</t>
  </si>
  <si>
    <t>HRA %</t>
  </si>
  <si>
    <t>AHRA</t>
  </si>
  <si>
    <r>
      <t xml:space="preserve">DA 1 Arrears UPTO </t>
    </r>
    <r>
      <rPr>
        <sz val="10"/>
        <color theme="1"/>
        <rFont val="Calibri"/>
        <family val="2"/>
        <scheme val="minor"/>
      </rPr>
      <t>→</t>
    </r>
  </si>
  <si>
    <r>
      <t xml:space="preserve">DA 2 Arrears UPTO </t>
    </r>
    <r>
      <rPr>
        <sz val="10"/>
        <color theme="1"/>
        <rFont val="Calibri"/>
        <family val="2"/>
        <scheme val="minor"/>
      </rPr>
      <t>→</t>
    </r>
  </si>
  <si>
    <t>80C SAVINGS LIST</t>
  </si>
  <si>
    <t>SAVINGs and LOANs LIST</t>
  </si>
  <si>
    <t xml:space="preserve">GENERAL </t>
  </si>
  <si>
    <t>SPLIT ►</t>
  </si>
  <si>
    <t>80C
Filtered</t>
  </si>
  <si>
    <t>80C Max.
APPLIED</t>
  </si>
  <si>
    <t>80C
FINAL</t>
  </si>
  <si>
    <t>Rs.  000000 - Rs.  250000</t>
  </si>
  <si>
    <t>Rs.   000000 - Rs.  400000</t>
  </si>
  <si>
    <t>FY 2025-26</t>
  </si>
  <si>
    <t>AY 2026-27</t>
  </si>
  <si>
    <t>DA 1 Changed Month</t>
  </si>
  <si>
    <t>DA 2 Changed Month</t>
  </si>
  <si>
    <t>ATAL PENSION YOJANA</t>
  </si>
  <si>
    <t>Rs.  250001 - Rs.  500000</t>
  </si>
  <si>
    <t>Rs.   400001 - Rs.  800000</t>
  </si>
  <si>
    <t>FILL YELLOW CELLS</t>
  </si>
  <si>
    <t>DA as on</t>
  </si>
  <si>
    <t>Rs.  500001 - Rs.1000000</t>
  </si>
  <si>
    <t>Rs.   800001 - Rs. 1200000</t>
  </si>
  <si>
    <t>NATIONAL SAVINGS CERTIFICATE</t>
  </si>
  <si>
    <t>Rs.1000001 &amp;    ABOVE</t>
  </si>
  <si>
    <t>Rs. 1200001 - Rs.1600000</t>
  </si>
  <si>
    <t>STD+NPS</t>
  </si>
  <si>
    <t>SHRIRAM LIFE INSURANCE</t>
  </si>
  <si>
    <t>-</t>
  </si>
  <si>
    <t>Rs.1600001 - Rs.2000000</t>
  </si>
  <si>
    <t>OTHER Deductions</t>
  </si>
  <si>
    <t>USER GIVEN DATA</t>
  </si>
  <si>
    <t>DA ARREARS 1 (FROM - JUL 2023)</t>
  </si>
  <si>
    <t>EMPLOYEE     PROVIDENT FUND (EPF)</t>
  </si>
  <si>
    <t>Rs.2000001 - Rs.2400000</t>
  </si>
  <si>
    <t>DATE OF BIRTH</t>
  </si>
  <si>
    <t>INC 1</t>
  </si>
  <si>
    <t>CASH</t>
  </si>
  <si>
    <t>VOLUNTARY PROVIDENT FUND (VPF)</t>
  </si>
  <si>
    <t>Rs.2400000 &amp;    ABOVE</t>
  </si>
  <si>
    <t>INC 2</t>
  </si>
  <si>
    <t>Equity Linked Savings Scheme  (ELSS)</t>
  </si>
  <si>
    <t>INC 3</t>
  </si>
  <si>
    <t>5 Yrs Fixed Deposits ( Bank / Postal )</t>
  </si>
  <si>
    <t>AGE &gt;60 &amp; &lt;=80</t>
  </si>
  <si>
    <t>NEW NET SALARY</t>
  </si>
  <si>
    <t>NABARD BONDS</t>
  </si>
  <si>
    <t>Rs.  000000 - Rs.  300000</t>
  </si>
  <si>
    <t>OLD NET SALARY</t>
  </si>
  <si>
    <t>Retirement Mutual Funds ( RMF )</t>
  </si>
  <si>
    <t>Rs.  300001 - Rs.  500000</t>
  </si>
  <si>
    <t>DA ARREARS 2 (FROM - JAN 2024)</t>
  </si>
  <si>
    <t>MUTUAL FUNDS  (S.B.I.)</t>
  </si>
  <si>
    <t>TIME DEPOSIT</t>
  </si>
  <si>
    <t>Num-Text</t>
  </si>
  <si>
    <t xml:space="preserve">TATA AIA LIFE INSURANCE </t>
  </si>
  <si>
    <t>TOTAL  (WITHOUT NPS SPLIT)</t>
  </si>
  <si>
    <t>BHARATHI AXA LIFE INSURANCE</t>
  </si>
  <si>
    <t xml:space="preserve">TOTAL  </t>
  </si>
  <si>
    <t>AGE &gt;80</t>
  </si>
  <si>
    <t xml:space="preserve">YOUR AGE IS </t>
  </si>
  <si>
    <t>Rs.  000000 - Rs.  500000</t>
  </si>
  <si>
    <t>CUT OFF DATE</t>
  </si>
  <si>
    <t>LOANS LIST</t>
  </si>
  <si>
    <t>CPS ONLY</t>
  </si>
  <si>
    <t xml:space="preserve">24(b) Interest on Housing Loan Advance U/s 24B  </t>
  </si>
  <si>
    <t>80C-CPS Ded</t>
  </si>
  <si>
    <t>80EEA : Interest on Home Loan (Loan in FY-2019-20 , House Value&lt;=45L) U/s  80EEA</t>
  </si>
  <si>
    <t>80C&gt;1.5, 1.5L-B</t>
  </si>
  <si>
    <t>CPS 1</t>
  </si>
  <si>
    <t xml:space="preserve">80EE : Interest on Home Loan (Loan in FY-2016-17,House Value&lt;50L) U/s  80EE </t>
  </si>
  <si>
    <t>A - CPS1</t>
  </si>
  <si>
    <t>CPS 2</t>
  </si>
  <si>
    <t xml:space="preserve">80E : Interest on Educational Loan U/s 80E  </t>
  </si>
  <si>
    <t>General Citizen</t>
  </si>
  <si>
    <t>80TTA : Interest on Savings Account U/s 80TTA</t>
  </si>
  <si>
    <t>Age = 60 to 80 Years</t>
  </si>
  <si>
    <t>Senior Citizen</t>
  </si>
  <si>
    <t>FINAL COMPARISION</t>
  </si>
  <si>
    <t>OLD &lt;=60</t>
  </si>
  <si>
    <t>&gt;60 &lt;=80</t>
  </si>
  <si>
    <t>OLD &gt;80</t>
  </si>
  <si>
    <t>OVERALL FINAL</t>
  </si>
  <si>
    <t>OLD FINAL</t>
  </si>
  <si>
    <t>NEW</t>
  </si>
  <si>
    <t>Age = Above 80 Years</t>
  </si>
  <si>
    <t>Super Citizen</t>
  </si>
  <si>
    <t>Taxable Income</t>
  </si>
  <si>
    <t>USER OPTED</t>
  </si>
  <si>
    <t>REBATE (87A)</t>
  </si>
  <si>
    <t>SURCHARGE INTIAL</t>
  </si>
  <si>
    <t>BEST FOR USER</t>
  </si>
  <si>
    <t>MARGINAL RELIEF</t>
  </si>
  <si>
    <t>SURCHARGE FINAL</t>
  </si>
  <si>
    <t>YOUR TAX IS</t>
  </si>
  <si>
    <t>Total Exemption for Old Regime</t>
  </si>
  <si>
    <t>GROSS INCOME as per Your data</t>
  </si>
  <si>
    <t>Standard Deduction For New Regime</t>
  </si>
  <si>
    <t>Final</t>
  </si>
  <si>
    <t>AAS ARREARS</t>
  </si>
  <si>
    <r>
      <t xml:space="preserve">E.L.s </t>
    </r>
    <r>
      <rPr>
        <sz val="11"/>
        <color rgb="FFFF0000"/>
        <rFont val="Book Antiqua"/>
        <family val="1"/>
      </rPr>
      <t>▼</t>
    </r>
  </si>
  <si>
    <t>FINAL</t>
  </si>
  <si>
    <r>
      <t xml:space="preserve">E.L.s </t>
    </r>
    <r>
      <rPr>
        <sz val="11"/>
        <color theme="0"/>
        <rFont val="Book Antiqua"/>
        <family val="1"/>
      </rPr>
      <t>▼</t>
    </r>
  </si>
  <si>
    <r>
      <t xml:space="preserve">Old Tax Regime </t>
    </r>
    <r>
      <rPr>
        <b/>
        <sz val="10"/>
        <color theme="1"/>
        <rFont val="Nirmala UI"/>
        <family val="2"/>
      </rPr>
      <t>with</t>
    </r>
    <r>
      <rPr>
        <sz val="10"/>
        <color theme="1"/>
        <rFont val="Nirmala UI"/>
        <family val="2"/>
      </rPr>
      <t xml:space="preserve"> Deductions &amp; Exemptions</t>
    </r>
  </si>
  <si>
    <t>Total Exemption for New Regime</t>
  </si>
  <si>
    <r>
      <t xml:space="preserve">New Tax Regime </t>
    </r>
    <r>
      <rPr>
        <b/>
        <sz val="9"/>
        <color theme="1"/>
        <rFont val="Nirmala UI"/>
        <family val="2"/>
      </rPr>
      <t>without</t>
    </r>
    <r>
      <rPr>
        <sz val="9"/>
        <color theme="1"/>
        <rFont val="Nirmala UI"/>
        <family val="2"/>
      </rPr>
      <t xml:space="preserve"> Deductions &amp; Exemptions</t>
    </r>
  </si>
  <si>
    <t>DATES</t>
  </si>
  <si>
    <t>NEW ELs</t>
  </si>
  <si>
    <t>Total Days</t>
  </si>
  <si>
    <r>
      <t xml:space="preserve">AAS </t>
    </r>
    <r>
      <rPr>
        <sz val="11"/>
        <color theme="0"/>
        <rFont val="Book Antiqua"/>
        <family val="1"/>
      </rPr>
      <t>▼</t>
    </r>
  </si>
  <si>
    <t>AAS DATE</t>
  </si>
  <si>
    <t>AAS BP =</t>
  </si>
  <si>
    <t>Days OLD BP</t>
  </si>
  <si>
    <t>Days NEW BP</t>
  </si>
  <si>
    <r>
      <rPr>
        <b/>
        <sz val="10"/>
        <color theme="1"/>
        <rFont val="Nirmala UI"/>
        <family val="2"/>
      </rPr>
      <t>Feb Increment</t>
    </r>
    <r>
      <rPr>
        <sz val="10"/>
        <color theme="1"/>
        <rFont val="Nirmala UI"/>
        <family val="2"/>
      </rPr>
      <t xml:space="preserve"> వాళ్ళు </t>
    </r>
    <r>
      <rPr>
        <b/>
        <sz val="12"/>
        <color theme="1"/>
        <rFont val="Nirmala UI"/>
        <family val="2"/>
      </rPr>
      <t>FEB-2026</t>
    </r>
    <r>
      <rPr>
        <sz val="10"/>
        <color theme="1"/>
        <rFont val="Nirmala UI"/>
        <family val="2"/>
      </rPr>
      <t xml:space="preserve"> Select చెయ్యండి.</t>
    </r>
  </si>
  <si>
    <t>ఈ SHEET ను EDIT చేస్తే , ఈ ఫైల్ ను మరొకరికి USE చెయ్యకూడదు.</t>
  </si>
  <si>
    <r>
      <t xml:space="preserve">Your Tax in </t>
    </r>
    <r>
      <rPr>
        <b/>
        <sz val="10"/>
        <color theme="1"/>
        <rFont val="Nirmala UI"/>
        <family val="2"/>
      </rPr>
      <t>NEW</t>
    </r>
    <r>
      <rPr>
        <b/>
        <sz val="11"/>
        <color theme="1"/>
        <rFont val="Nirmala UI"/>
        <family val="2"/>
      </rPr>
      <t xml:space="preserve"> Regime</t>
    </r>
  </si>
  <si>
    <t>ramanjaneyuluperumal@gmail.com</t>
  </si>
  <si>
    <t>SELECT PF TYPE
(Z.P.P.F. or C.P.S.)</t>
  </si>
  <si>
    <r>
      <rPr>
        <b/>
        <sz val="11"/>
        <color theme="1"/>
        <rFont val="Nirmala UI"/>
        <family val="2"/>
      </rPr>
      <t>Calculations</t>
    </r>
    <r>
      <rPr>
        <sz val="11"/>
        <color theme="1"/>
        <rFont val="Nirmala UI"/>
        <family val="2"/>
      </rPr>
      <t xml:space="preserve"> లలో , ఏవైనా </t>
    </r>
    <r>
      <rPr>
        <b/>
        <sz val="11"/>
        <color rgb="FFFF0000"/>
        <rFont val="Nirmala UI"/>
        <family val="2"/>
      </rPr>
      <t>ERRORS</t>
    </r>
    <r>
      <rPr>
        <sz val="11"/>
        <color theme="1"/>
        <rFont val="Nirmala UI"/>
        <family val="2"/>
      </rPr>
      <t xml:space="preserve"> ఉంటే
</t>
    </r>
    <r>
      <rPr>
        <b/>
        <sz val="11"/>
        <color rgb="FF00B050"/>
        <rFont val="Nirmala UI"/>
        <family val="2"/>
      </rPr>
      <t>Whatsapp</t>
    </r>
    <r>
      <rPr>
        <sz val="11"/>
        <color theme="1"/>
        <rFont val="Nirmala UI"/>
        <family val="2"/>
      </rPr>
      <t xml:space="preserve"> లో నాకు </t>
    </r>
    <r>
      <rPr>
        <b/>
        <sz val="11"/>
        <color rgb="FF0000FF"/>
        <rFont val="Nirmala UI"/>
        <family val="2"/>
      </rPr>
      <t>NOTICE</t>
    </r>
    <r>
      <rPr>
        <sz val="11"/>
        <color theme="1"/>
        <rFont val="Nirmala UI"/>
        <family val="2"/>
      </rPr>
      <t xml:space="preserve">  చెయ్యగలరు.</t>
    </r>
  </si>
  <si>
    <r>
      <t>మీరు</t>
    </r>
    <r>
      <rPr>
        <sz val="11"/>
        <color rgb="FF0000FF"/>
        <rFont val="Nirmala UI"/>
        <family val="2"/>
      </rPr>
      <t xml:space="preserve"> </t>
    </r>
    <r>
      <rPr>
        <b/>
        <sz val="11"/>
        <color rgb="FF0000FF"/>
        <rFont val="Nirmala UI"/>
        <family val="2"/>
      </rPr>
      <t>MS OFFICE 2016</t>
    </r>
    <r>
      <rPr>
        <sz val="11"/>
        <color theme="1"/>
        <rFont val="Nirmala UI"/>
        <family val="2"/>
      </rPr>
      <t xml:space="preserve"> కన్నా </t>
    </r>
    <r>
      <rPr>
        <b/>
        <sz val="11"/>
        <color rgb="FFFF0000"/>
        <rFont val="Nirmala UI"/>
        <family val="2"/>
      </rPr>
      <t>OLD VERSION</t>
    </r>
    <r>
      <rPr>
        <sz val="11"/>
        <color theme="1"/>
        <rFont val="Nirmala UI"/>
        <family val="2"/>
      </rPr>
      <t xml:space="preserve"> ను
ఉపయోగిస్తుంటే </t>
    </r>
    <r>
      <rPr>
        <b/>
        <sz val="11"/>
        <color rgb="FF0000FF"/>
        <rFont val="Nirmala UI"/>
        <family val="2"/>
      </rPr>
      <t>UPDATE</t>
    </r>
    <r>
      <rPr>
        <sz val="11"/>
        <color theme="1"/>
        <rFont val="Nirmala UI"/>
        <family val="2"/>
      </rPr>
      <t xml:space="preserve">  చేయించుకోండి.</t>
    </r>
  </si>
  <si>
    <r>
      <t xml:space="preserve">ఈ FILE ను </t>
    </r>
    <r>
      <rPr>
        <b/>
        <sz val="11"/>
        <color rgb="FF0000FF"/>
        <rFont val="Nirmala UI"/>
        <family val="2"/>
      </rPr>
      <t>MS EXCEL</t>
    </r>
    <r>
      <rPr>
        <sz val="11"/>
        <color theme="1"/>
        <rFont val="Nirmala UI"/>
        <family val="2"/>
      </rPr>
      <t xml:space="preserve"> లో మాత్రమే USE చెయ్యాలి.
</t>
    </r>
    <r>
      <rPr>
        <b/>
        <sz val="11"/>
        <color rgb="FFFF0000"/>
        <rFont val="Nirmala UI"/>
        <family val="2"/>
      </rPr>
      <t>WPS/Google Sheets</t>
    </r>
    <r>
      <rPr>
        <sz val="11"/>
        <color rgb="FFFF0000"/>
        <rFont val="Nirmala UI"/>
        <family val="2"/>
      </rPr>
      <t xml:space="preserve"> లలో USE చెయ్యకూడదు.</t>
    </r>
  </si>
  <si>
    <t>AS ON
MARCH
2025</t>
  </si>
  <si>
    <t>AUTO</t>
  </si>
  <si>
    <t>If I.R. Announced,Select Month</t>
  </si>
  <si>
    <t>I.R. %</t>
  </si>
  <si>
    <t>IR Month ↨</t>
  </si>
  <si>
    <t>I.R.</t>
  </si>
  <si>
    <r>
      <rPr>
        <b/>
        <sz val="9"/>
        <color theme="1"/>
        <rFont val="Nirmala UI"/>
        <family val="2"/>
      </rPr>
      <t>Increment</t>
    </r>
    <r>
      <rPr>
        <sz val="8"/>
        <color theme="1"/>
        <rFont val="Nirmala UI"/>
        <family val="2"/>
      </rPr>
      <t xml:space="preserve"> లేనివాళ్ళు A.G.I. Selection ను </t>
    </r>
    <r>
      <rPr>
        <b/>
        <sz val="9"/>
        <color theme="1"/>
        <rFont val="Nirmala UI"/>
        <family val="2"/>
      </rPr>
      <t>Empty Cell</t>
    </r>
    <r>
      <rPr>
        <sz val="8"/>
        <color theme="1"/>
        <rFont val="Nirmala UI"/>
        <family val="2"/>
      </rPr>
      <t xml:space="preserve"> గా ఉంచండి. </t>
    </r>
    <r>
      <rPr>
        <b/>
        <sz val="9"/>
        <color theme="1"/>
        <rFont val="Calibri Light"/>
        <family val="2"/>
        <scheme val="major"/>
      </rPr>
      <t>↓</t>
    </r>
  </si>
  <si>
    <t>➠ ➠ Would you like to add Employer's
Contribution towards NPS to your GROSS</t>
  </si>
  <si>
    <t>èè</t>
  </si>
  <si>
    <r>
      <t xml:space="preserve"> ఈ </t>
    </r>
    <r>
      <rPr>
        <b/>
        <sz val="16"/>
        <color theme="1"/>
        <rFont val="Nirmala UI"/>
        <family val="2"/>
      </rPr>
      <t>Sheet</t>
    </r>
    <r>
      <rPr>
        <sz val="16"/>
        <color theme="1"/>
        <rFont val="Nirmala UI"/>
        <family val="2"/>
      </rPr>
      <t xml:space="preserve"> లో </t>
    </r>
    <r>
      <rPr>
        <b/>
        <sz val="16"/>
        <color theme="1"/>
        <rFont val="Nirmala UI"/>
        <family val="2"/>
      </rPr>
      <t>MANUAL</t>
    </r>
    <r>
      <rPr>
        <sz val="16"/>
        <color theme="1"/>
        <rFont val="Nirmala UI"/>
        <family val="2"/>
      </rPr>
      <t xml:space="preserve"> గా నమోదు చేస్తున్నారా ?</t>
    </r>
  </si>
  <si>
    <r>
      <rPr>
        <b/>
        <sz val="14"/>
        <color theme="1"/>
        <rFont val="Nirmala UI"/>
        <family val="2"/>
      </rPr>
      <t>MARCH-2026 BP</t>
    </r>
    <r>
      <rPr>
        <b/>
        <sz val="11"/>
        <color theme="1"/>
        <rFont val="Nirmala UI"/>
        <family val="2"/>
      </rPr>
      <t xml:space="preserve">
</t>
    </r>
    <r>
      <rPr>
        <b/>
        <sz val="12"/>
        <color theme="1"/>
        <rFont val="Nirmala UI"/>
        <family val="2"/>
      </rPr>
      <t>(without A.G.I.)</t>
    </r>
  </si>
  <si>
    <t>Secondary Grade Teacher</t>
  </si>
  <si>
    <r>
      <rPr>
        <b/>
        <sz val="15"/>
        <color theme="0"/>
        <rFont val="Nirmala UI"/>
        <family val="2"/>
      </rPr>
      <t xml:space="preserve">INCOMETAX 2025-26 (A.P.) </t>
    </r>
    <r>
      <rPr>
        <b/>
        <sz val="15"/>
        <color rgb="FFFFFF00"/>
        <rFont val="Nirmala UI"/>
        <family val="2"/>
      </rPr>
      <t>V1.2</t>
    </r>
    <r>
      <rPr>
        <b/>
        <sz val="12"/>
        <color theme="0"/>
        <rFont val="Nirmala UI"/>
        <family val="2"/>
      </rPr>
      <t xml:space="preserve">
1</t>
    </r>
    <r>
      <rPr>
        <b/>
        <sz val="12"/>
        <color rgb="FFFFFF00"/>
        <rFont val="Nirmala UI"/>
        <family val="2"/>
      </rPr>
      <t>6-11-2025</t>
    </r>
    <r>
      <rPr>
        <b/>
        <sz val="13"/>
        <color theme="0"/>
        <rFont val="Nirmala UI"/>
        <family val="2"/>
      </rPr>
      <t xml:space="preserve">    Use By : Only MS EXCEL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</si>
</sst>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%"/>
    <numFmt numFmtId="170" formatCode="mmm/yyyy"/>
    <numFmt numFmtId="171" formatCode="00"/>
    <numFmt numFmtId="172" formatCode="0000"/>
    <numFmt numFmtId="173" formatCode="_ &quot;Rs.&quot;\ * #,##0_ ;_ &quot;Rs.&quot;\ * \-#,##0_ ;_ &quot;Rs.&quot;\ * &quot;-&quot;_ ;_ @_ "/>
    <numFmt numFmtId="174" formatCode="00%"/>
    <numFmt numFmtId="175" formatCode="[&gt;=10000000]##\,##\,##\,##0;[&gt;=100000]\ ##\,##\,##0;##,##0"/>
    <numFmt numFmtId="176" formatCode="#,##0_ ;[Red]\-#,##0\ "/>
    <numFmt numFmtId="177" formatCode="mmmm/yyyy"/>
    <numFmt numFmtId="178" formatCode="0000000"/>
    <numFmt numFmtId="179" formatCode="[$-14009]dd\ mmmm\ yyyy;@"/>
    <numFmt numFmtId="180" formatCode="[$-409]d/mmm/yyyy;@"/>
    <numFmt numFmtId="181" formatCode="[$-14009]d\ mmmm\ yyyy;@"/>
    <numFmt numFmtId="182" formatCode="_-* #,##0_-;\-* #,##0_-;_-* &quot;-&quot;??_-;_-@_-"/>
    <numFmt numFmtId="183" formatCode="_-[$Rs.-849]\ * #,##0_-;\-[$Rs.-849]\ * #,##0_-;_-[$Rs.-849]\ * &quot;-&quot;_-;_-@_-"/>
    <numFmt numFmtId="184" formatCode="_ * #,##0_ ;_ * \-#,##0_ ;_ * &quot;-&quot;??_ ;_ @_ "/>
    <numFmt numFmtId="185" formatCode="[$-4009]dd/mmm/yyyy"/>
    <numFmt numFmtId="186" formatCode="[&gt;=10000000]* ##\,##\,##\,##0;[&gt;=100000]* ##\,##\,##0;* ##,##0"/>
    <numFmt numFmtId="187" formatCode="mmm\-yyyy"/>
    <numFmt numFmtId="188" formatCode="mmmm\-yyyy"/>
    <numFmt numFmtId="189" formatCode="[$Rs.-849]\ #,##0"/>
    <numFmt numFmtId="190" formatCode="dd\-mmmm\-yyyy"/>
    <numFmt numFmtId="191" formatCode="dd\-mmm\-yyyy"/>
    <numFmt numFmtId="192" formatCode="[$-409]d\-mmm\-yy;@"/>
    <numFmt numFmtId="193" formatCode="[&gt;=10000000]&quot;Rs.&quot;* ##\,##\,##\,##0;[&gt;=100000]&quot;Rs.&quot;* ##\,##\,##0;&quot;Rs.&quot;* ##,##0"/>
    <numFmt numFmtId="194" formatCode="0_ ;[Red]\-0\ "/>
  </numFmts>
  <fonts count="230" x14ac:knownFonts="1">
    <font>
      <sz val="11"/>
      <color theme="1"/>
      <name val="Calibri"/>
      <family val="2"/>
      <scheme val="minor"/>
    </font>
    <font>
      <sz val="11"/>
      <color theme="1"/>
      <name val="Nirmala UI"/>
      <family val="2"/>
    </font>
    <font>
      <sz val="11"/>
      <color theme="1"/>
      <name val="Nirmala UI"/>
      <family val="2"/>
    </font>
    <font>
      <sz val="11"/>
      <color theme="1"/>
      <name val="Nirmala UI"/>
      <family val="2"/>
    </font>
    <font>
      <sz val="11"/>
      <color theme="1"/>
      <name val="Nirmala UI"/>
      <family val="2"/>
    </font>
    <font>
      <sz val="11"/>
      <color theme="1"/>
      <name val="Nirmala UI"/>
      <family val="2"/>
    </font>
    <font>
      <sz val="11"/>
      <color theme="1"/>
      <name val="Nirmala UI"/>
      <family val="2"/>
    </font>
    <font>
      <sz val="12"/>
      <color theme="1"/>
      <name val="Nirmala UI"/>
      <family val="2"/>
    </font>
    <font>
      <sz val="11"/>
      <color theme="1"/>
      <name val="Nirmala U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Nirmala UI"/>
      <family val="2"/>
    </font>
    <font>
      <b/>
      <sz val="11"/>
      <color theme="1"/>
      <name val="Nirmala UI"/>
      <family val="2"/>
    </font>
    <font>
      <sz val="10"/>
      <color theme="1"/>
      <name val="Nirmala UI"/>
      <family val="2"/>
    </font>
    <font>
      <sz val="11"/>
      <color rgb="FF3333FF"/>
      <name val="Nirmala UI"/>
      <family val="2"/>
    </font>
    <font>
      <sz val="11"/>
      <color rgb="FFFF0000"/>
      <name val="Nirmala UI"/>
      <family val="2"/>
    </font>
    <font>
      <sz val="8"/>
      <color theme="1"/>
      <name val="Nirmala UI"/>
      <family val="2"/>
    </font>
    <font>
      <sz val="8"/>
      <color theme="1"/>
      <name val="Calibri"/>
      <family val="2"/>
      <scheme val="minor"/>
    </font>
    <font>
      <b/>
      <sz val="11"/>
      <color rgb="FF3333FF"/>
      <name val="Nirmala UI"/>
      <family val="2"/>
    </font>
    <font>
      <b/>
      <sz val="11"/>
      <color rgb="FFFF0000"/>
      <name val="Nirmala UI"/>
      <family val="2"/>
    </font>
    <font>
      <b/>
      <sz val="8"/>
      <color theme="1"/>
      <name val="Nirmala UI"/>
      <family val="2"/>
    </font>
    <font>
      <b/>
      <sz val="10"/>
      <color theme="1"/>
      <name val="Nirmala UI"/>
      <family val="2"/>
    </font>
    <font>
      <sz val="10"/>
      <color rgb="FF3333FF"/>
      <name val="Nirmala UI"/>
      <family val="2"/>
    </font>
    <font>
      <sz val="10"/>
      <color theme="1"/>
      <name val="Calibri"/>
      <family val="2"/>
      <scheme val="minor"/>
    </font>
    <font>
      <sz val="14"/>
      <color theme="1"/>
      <name val="Nirmala UI"/>
      <family val="2"/>
    </font>
    <font>
      <b/>
      <sz val="10"/>
      <color rgb="FF3333FF"/>
      <name val="Nirmala U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Nirmala UI"/>
      <family val="2"/>
    </font>
    <font>
      <b/>
      <sz val="12"/>
      <color theme="1"/>
      <name val="Nirmala UI"/>
      <family val="2"/>
    </font>
    <font>
      <b/>
      <sz val="9"/>
      <color theme="1"/>
      <name val="Nirmala UI"/>
      <family val="2"/>
    </font>
    <font>
      <b/>
      <sz val="14"/>
      <color theme="1"/>
      <name val="Nirmala UI"/>
      <family val="2"/>
    </font>
    <font>
      <sz val="9"/>
      <color theme="1"/>
      <name val="Nirmala UI"/>
      <family val="2"/>
    </font>
    <font>
      <b/>
      <sz val="12"/>
      <color rgb="FFFF0000"/>
      <name val="Calibri"/>
      <family val="2"/>
      <scheme val="minor"/>
    </font>
    <font>
      <b/>
      <sz val="10.5"/>
      <color theme="1"/>
      <name val="Nirmala UI"/>
      <family val="2"/>
    </font>
    <font>
      <sz val="14"/>
      <color rgb="FF0053FA"/>
      <name val="Nirmala UI"/>
      <family val="2"/>
    </font>
    <font>
      <sz val="16"/>
      <color rgb="FF0053FA"/>
      <name val="Nirmala UI"/>
      <family val="2"/>
    </font>
    <font>
      <sz val="12"/>
      <color rgb="FF0053FA"/>
      <name val="Nirmala UI"/>
      <family val="2"/>
    </font>
    <font>
      <b/>
      <sz val="12"/>
      <color rgb="FFC00000"/>
      <name val="Nirmala UI"/>
      <family val="2"/>
    </font>
    <font>
      <b/>
      <sz val="12"/>
      <color rgb="FF3333FF"/>
      <name val="Nirmala UI"/>
      <family val="2"/>
    </font>
    <font>
      <b/>
      <sz val="14"/>
      <color rgb="FF3333FF"/>
      <name val="Calibri"/>
      <family val="2"/>
      <scheme val="minor"/>
    </font>
    <font>
      <b/>
      <sz val="14"/>
      <color rgb="FF3333FF"/>
      <name val="Nirmala U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entury Gothic"/>
      <family val="2"/>
    </font>
    <font>
      <sz val="11"/>
      <color theme="1"/>
      <name val="Calibri"/>
      <family val="2"/>
    </font>
    <font>
      <sz val="9"/>
      <color theme="1"/>
      <name val="Century Gothic"/>
      <family val="2"/>
    </font>
    <font>
      <sz val="11"/>
      <color rgb="FF0000FF"/>
      <name val="Nirmala UI"/>
      <family val="2"/>
    </font>
    <font>
      <sz val="9"/>
      <color rgb="FFFF0000"/>
      <name val="Nirmala UI"/>
      <family val="2"/>
    </font>
    <font>
      <sz val="11"/>
      <color rgb="FFFF0066"/>
      <name val="Nirmala U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9"/>
      <color rgb="FF3507DF"/>
      <name val="Nirmala UI"/>
      <family val="2"/>
    </font>
    <font>
      <b/>
      <sz val="20"/>
      <color theme="1"/>
      <name val="Nirmala UI"/>
      <family val="2"/>
    </font>
    <font>
      <sz val="11"/>
      <color rgb="FFFF0000"/>
      <name val="Book Antiqua"/>
      <family val="1"/>
    </font>
    <font>
      <b/>
      <sz val="13"/>
      <color theme="1"/>
      <name val="Nirmala UI"/>
      <family val="2"/>
    </font>
    <font>
      <b/>
      <sz val="28"/>
      <color rgb="FF3333FF"/>
      <name val="Nirmala UI"/>
      <family val="2"/>
    </font>
    <font>
      <sz val="28"/>
      <color theme="1"/>
      <name val="Nirmala UI"/>
      <family val="2"/>
    </font>
    <font>
      <b/>
      <sz val="14"/>
      <color rgb="FFFF0000"/>
      <name val="Nirmala UI"/>
      <family val="2"/>
    </font>
    <font>
      <sz val="8"/>
      <color rgb="FFFF0000"/>
      <name val="Nirmala UI"/>
      <family val="2"/>
    </font>
    <font>
      <b/>
      <sz val="12"/>
      <color rgb="FFFF0000"/>
      <name val="Nirmala UI"/>
      <family val="2"/>
    </font>
    <font>
      <sz val="9.5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9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0"/>
      <name val="Nirmala UI"/>
      <family val="2"/>
    </font>
    <font>
      <sz val="11"/>
      <color theme="0"/>
      <name val="Book Antiqua"/>
      <family val="1"/>
    </font>
    <font>
      <b/>
      <sz val="30"/>
      <color rgb="FFFF0000"/>
      <name val="Nirmala UI"/>
      <family val="2"/>
    </font>
    <font>
      <b/>
      <sz val="10"/>
      <color rgb="FFFF0000"/>
      <name val="Nirmala UI"/>
      <family val="2"/>
    </font>
    <font>
      <sz val="12"/>
      <color rgb="FFFFC000"/>
      <name val="Nirmala UI"/>
      <family val="2"/>
    </font>
    <font>
      <b/>
      <sz val="16"/>
      <color theme="1"/>
      <name val="Nirmala UI"/>
      <family val="2"/>
    </font>
    <font>
      <b/>
      <sz val="10"/>
      <color rgb="FF0053FA"/>
      <name val="Nirmala UI"/>
      <family val="2"/>
    </font>
    <font>
      <b/>
      <sz val="11"/>
      <name val="Nirmala UI"/>
      <family val="2"/>
    </font>
    <font>
      <b/>
      <sz val="11"/>
      <color rgb="FF0000FF"/>
      <name val="Nirmala UI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name val="Book Antiqua"/>
      <family val="1"/>
    </font>
    <font>
      <b/>
      <sz val="10"/>
      <color indexed="8"/>
      <name val="Calibri"/>
      <family val="2"/>
      <scheme val="minor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alibri"/>
      <family val="2"/>
      <scheme val="minor"/>
    </font>
    <font>
      <b/>
      <sz val="11"/>
      <color indexed="8"/>
      <name val="Book Antiqua"/>
      <family val="1"/>
    </font>
    <font>
      <b/>
      <sz val="10"/>
      <color indexed="8"/>
      <name val="Book Antiqua"/>
      <family val="1"/>
    </font>
    <font>
      <b/>
      <sz val="10"/>
      <name val="Calibri"/>
      <family val="2"/>
      <scheme val="minor"/>
    </font>
    <font>
      <b/>
      <sz val="9"/>
      <name val="Century Gothic"/>
      <family val="2"/>
    </font>
    <font>
      <b/>
      <sz val="9"/>
      <color indexed="8"/>
      <name val="Century Gothic"/>
      <family val="2"/>
    </font>
    <font>
      <b/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0"/>
      <name val="Times New Roman"/>
      <family val="1"/>
    </font>
    <font>
      <sz val="10"/>
      <name val="Book Antiqua"/>
      <family val="1"/>
    </font>
    <font>
      <b/>
      <sz val="9"/>
      <color indexed="12"/>
      <name val="Century Gothic"/>
      <family val="2"/>
    </font>
    <font>
      <b/>
      <sz val="8"/>
      <color indexed="12"/>
      <name val="Century Gothic"/>
      <family val="2"/>
    </font>
    <font>
      <b/>
      <sz val="11"/>
      <name val="Calibri"/>
      <family val="2"/>
      <scheme val="minor"/>
    </font>
    <font>
      <b/>
      <sz val="12"/>
      <name val="Century Gothic"/>
      <family val="2"/>
    </font>
    <font>
      <b/>
      <sz val="14"/>
      <name val="Century Gothic"/>
      <family val="2"/>
    </font>
    <font>
      <b/>
      <sz val="9"/>
      <name val="Calibri"/>
      <family val="2"/>
      <scheme val="minor"/>
    </font>
    <font>
      <b/>
      <sz val="11"/>
      <color rgb="FFFF0000"/>
      <name val="Calibri"/>
      <family val="2"/>
    </font>
    <font>
      <b/>
      <sz val="10.5"/>
      <name val="Book Antiqua"/>
      <family val="1"/>
    </font>
    <font>
      <b/>
      <sz val="8"/>
      <name val="Century Gothic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color theme="1"/>
      <name val="Book Antiqua"/>
      <family val="1"/>
    </font>
    <font>
      <b/>
      <sz val="9"/>
      <color theme="1"/>
      <name val="Book Antiqua"/>
      <family val="1"/>
    </font>
    <font>
      <sz val="10"/>
      <color theme="1"/>
      <name val="Book Antiqua"/>
      <family val="1"/>
    </font>
    <font>
      <sz val="8"/>
      <color theme="1"/>
      <name val="Book Antiqua"/>
      <family val="1"/>
    </font>
    <font>
      <sz val="9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Book Antiqua"/>
      <family val="1"/>
    </font>
    <font>
      <sz val="9"/>
      <name val="Calibri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11"/>
      <color theme="0"/>
      <name val="Calibri"/>
      <family val="2"/>
      <scheme val="minor"/>
    </font>
    <font>
      <b/>
      <sz val="18"/>
      <name val="Nirmala UI"/>
      <family val="2"/>
    </font>
    <font>
      <b/>
      <u/>
      <sz val="14"/>
      <color theme="1"/>
      <name val="Nirmala UI"/>
      <family val="2"/>
    </font>
    <font>
      <sz val="9"/>
      <color theme="0"/>
      <name val="Calibri"/>
      <family val="2"/>
    </font>
    <font>
      <sz val="9"/>
      <color theme="0"/>
      <name val="Nirmala UI"/>
      <family val="2"/>
    </font>
    <font>
      <b/>
      <sz val="10"/>
      <name val="Nirmala UI"/>
      <family val="2"/>
    </font>
    <font>
      <b/>
      <sz val="10"/>
      <color indexed="8"/>
      <name val="Nirmala UI"/>
      <family val="2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entury Gothic"/>
      <family val="2"/>
    </font>
    <font>
      <b/>
      <u/>
      <sz val="9"/>
      <color theme="1"/>
      <name val="Century Gothic"/>
      <family val="2"/>
    </font>
    <font>
      <b/>
      <sz val="14"/>
      <color theme="1"/>
      <name val="Calibri"/>
      <family val="2"/>
    </font>
    <font>
      <b/>
      <sz val="14"/>
      <color theme="1"/>
      <name val="Wingdings"/>
      <charset val="2"/>
    </font>
    <font>
      <b/>
      <sz val="11"/>
      <color theme="1"/>
      <name val="Century Gothic"/>
      <family val="2"/>
    </font>
    <font>
      <b/>
      <sz val="16"/>
      <color theme="1"/>
      <name val="Times New Roman"/>
      <family val="1"/>
    </font>
    <font>
      <b/>
      <sz val="11"/>
      <color theme="1"/>
      <name val="Book Antiqua"/>
      <family val="1"/>
    </font>
    <font>
      <b/>
      <u/>
      <sz val="11"/>
      <color theme="1"/>
      <name val="Nirmala UI"/>
      <family val="2"/>
    </font>
    <font>
      <sz val="9"/>
      <color theme="1"/>
      <name val="Calibri"/>
      <family val="2"/>
      <scheme val="minor"/>
    </font>
    <font>
      <b/>
      <sz val="15"/>
      <color theme="0"/>
      <name val="Nirmala UI"/>
      <family val="2"/>
    </font>
    <font>
      <sz val="10"/>
      <name val="Nirmala UI"/>
      <family val="2"/>
    </font>
    <font>
      <sz val="10"/>
      <color indexed="12"/>
      <name val="Nirmala UI"/>
      <family val="2"/>
    </font>
    <font>
      <sz val="9"/>
      <name val="Nirmala UI"/>
      <family val="2"/>
    </font>
    <font>
      <b/>
      <sz val="12"/>
      <color theme="0"/>
      <name val="Nirmala UI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3333FF"/>
      <name val="Calibri"/>
      <family val="2"/>
      <scheme val="minor"/>
    </font>
    <font>
      <sz val="12"/>
      <color rgb="FF0707B5"/>
      <name val="Nirmala UI"/>
      <family val="2"/>
    </font>
    <font>
      <sz val="10"/>
      <color theme="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707B5"/>
      <name val="Nirmala UI"/>
      <family val="2"/>
    </font>
    <font>
      <sz val="11"/>
      <color rgb="FFFF0000"/>
      <name val="Calibri"/>
      <family val="2"/>
      <scheme val="minor"/>
    </font>
    <font>
      <b/>
      <sz val="15"/>
      <color theme="1"/>
      <name val="Nirmala UI"/>
      <family val="2"/>
    </font>
    <font>
      <b/>
      <sz val="8.5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00B050"/>
      <name val="Nirmala UI"/>
      <family val="2"/>
    </font>
    <font>
      <sz val="11.5"/>
      <color theme="1"/>
      <name val="Nirmala UI"/>
      <family val="2"/>
    </font>
    <font>
      <b/>
      <sz val="15"/>
      <color rgb="FFFFFF00"/>
      <name val="Nirmala UI"/>
      <family val="2"/>
    </font>
    <font>
      <b/>
      <sz val="13"/>
      <color theme="0"/>
      <name val="Nirmala UI"/>
      <family val="2"/>
    </font>
    <font>
      <b/>
      <sz val="12"/>
      <name val="Nirmala UI"/>
      <family val="2"/>
    </font>
    <font>
      <sz val="9"/>
      <color rgb="FF3333FF"/>
      <name val="Nirmala UI"/>
      <family val="2"/>
    </font>
    <font>
      <b/>
      <sz val="9"/>
      <color theme="0"/>
      <name val="Nirmala UI"/>
      <family val="2"/>
    </font>
    <font>
      <b/>
      <sz val="18"/>
      <color rgb="FFFF0000"/>
      <name val="Nirmala UI"/>
      <family val="2"/>
    </font>
    <font>
      <b/>
      <sz val="10"/>
      <color rgb="FFFF0066"/>
      <name val="Nirmala UI"/>
      <family val="2"/>
    </font>
    <font>
      <b/>
      <sz val="9"/>
      <name val="Nirmala UI"/>
      <family val="2"/>
    </font>
    <font>
      <sz val="18"/>
      <color theme="0"/>
      <name val="Narkisim"/>
      <family val="2"/>
      <charset val="177"/>
    </font>
    <font>
      <sz val="12"/>
      <color rgb="FFFF0000"/>
      <name val="Nirmala UI"/>
      <family val="2"/>
    </font>
    <font>
      <sz val="16"/>
      <color theme="1"/>
      <name val="Nirmala UI"/>
      <family val="2"/>
    </font>
    <font>
      <b/>
      <sz val="20"/>
      <color rgb="FF3333FF"/>
      <name val="Narkisim"/>
      <family val="2"/>
      <charset val="177"/>
    </font>
    <font>
      <b/>
      <sz val="17"/>
      <color theme="1"/>
      <name val="Nirmala UI"/>
      <family val="2"/>
    </font>
    <font>
      <b/>
      <sz val="17"/>
      <color rgb="FF3333FF"/>
      <name val="Nirmala UI"/>
      <family val="2"/>
    </font>
    <font>
      <sz val="13"/>
      <color theme="1"/>
      <name val="Nirmala UI"/>
      <family val="2"/>
    </font>
    <font>
      <sz val="12"/>
      <color rgb="FFFFFF00"/>
      <name val="Nirmala UI"/>
      <family val="2"/>
    </font>
    <font>
      <sz val="11"/>
      <color rgb="FF002060"/>
      <name val="Nirmala U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rgb="FF00B050"/>
      <name val="Nirmala UI"/>
      <family val="2"/>
    </font>
    <font>
      <sz val="12"/>
      <color rgb="FF4A0EF2"/>
      <name val="Nirmala UI"/>
      <family val="2"/>
    </font>
    <font>
      <sz val="14"/>
      <color theme="1"/>
      <name val="Narkisim"/>
      <family val="2"/>
      <charset val="177"/>
    </font>
    <font>
      <sz val="11"/>
      <color theme="1"/>
      <name val="Nirmala UI"/>
      <family val="2"/>
      <charset val="177"/>
    </font>
    <font>
      <b/>
      <sz val="14"/>
      <color theme="1"/>
      <name val="Narkisim"/>
      <family val="2"/>
      <charset val="177"/>
    </font>
    <font>
      <sz val="12"/>
      <color theme="1"/>
      <name val="Narkisim"/>
      <family val="2"/>
      <charset val="177"/>
    </font>
    <font>
      <sz val="15"/>
      <color theme="1"/>
      <name val="Nirmala UI"/>
      <family val="2"/>
    </font>
    <font>
      <sz val="15"/>
      <color rgb="FF4A0EF2"/>
      <name val="Nirmala UI"/>
      <family val="2"/>
    </font>
    <font>
      <b/>
      <sz val="12"/>
      <color rgb="FFFF00FF"/>
      <name val="Nirmala UI"/>
      <family val="2"/>
    </font>
    <font>
      <sz val="12"/>
      <color rgb="FFFF00FF"/>
      <name val="Nirmala UI"/>
      <family val="2"/>
    </font>
    <font>
      <sz val="18"/>
      <color theme="1"/>
      <name val="Nirmala UI"/>
      <family val="2"/>
    </font>
    <font>
      <sz val="18"/>
      <color rgb="FFFF0000"/>
      <name val="Nirmala UI"/>
      <family val="2"/>
    </font>
    <font>
      <sz val="11"/>
      <color theme="1"/>
      <name val="Wingdings"/>
      <charset val="2"/>
    </font>
    <font>
      <sz val="18"/>
      <color theme="1"/>
      <name val="Narkisim"/>
      <family val="2"/>
      <charset val="177"/>
    </font>
    <font>
      <b/>
      <sz val="18"/>
      <color theme="1"/>
      <name val="Narkisim"/>
      <family val="2"/>
      <charset val="177"/>
    </font>
    <font>
      <b/>
      <sz val="19"/>
      <color theme="1"/>
      <name val="Narkisim"/>
      <family val="2"/>
      <charset val="177"/>
    </font>
    <font>
      <b/>
      <sz val="19"/>
      <color rgb="FFFF0000"/>
      <name val="Narkisim"/>
      <family val="2"/>
      <charset val="177"/>
    </font>
    <font>
      <b/>
      <sz val="20"/>
      <color theme="1"/>
      <name val="Narkisim"/>
      <family val="2"/>
      <charset val="177"/>
    </font>
    <font>
      <b/>
      <sz val="20"/>
      <color rgb="FFFF0000"/>
      <name val="Narkisim"/>
      <family val="2"/>
      <charset val="177"/>
    </font>
    <font>
      <b/>
      <sz val="22"/>
      <name val="Nirmala UI"/>
      <family val="2"/>
    </font>
    <font>
      <u/>
      <sz val="12"/>
      <color theme="1"/>
      <name val="Narkisim"/>
      <family val="2"/>
      <charset val="177"/>
    </font>
    <font>
      <b/>
      <u/>
      <sz val="9"/>
      <name val="Century Gothic"/>
      <family val="2"/>
    </font>
    <font>
      <sz val="10"/>
      <color theme="1"/>
      <name val="Narkisim"/>
      <family val="2"/>
      <charset val="177"/>
    </font>
    <font>
      <b/>
      <sz val="16"/>
      <name val="Calibri Light"/>
      <family val="2"/>
      <scheme val="maj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Nirmala UI"/>
      <family val="2"/>
    </font>
    <font>
      <sz val="14"/>
      <name val="Narkisim"/>
      <family val="2"/>
      <charset val="177"/>
    </font>
    <font>
      <u/>
      <sz val="12"/>
      <color theme="1"/>
      <name val="Nirmala UI"/>
      <family val="2"/>
    </font>
    <font>
      <sz val="10"/>
      <color theme="0"/>
      <name val="Nirmala UI"/>
      <family val="2"/>
    </font>
    <font>
      <u/>
      <sz val="12"/>
      <name val="Narkisim"/>
      <family val="2"/>
      <charset val="177"/>
    </font>
    <font>
      <sz val="11"/>
      <color theme="1"/>
      <name val="Narkisim"/>
      <family val="2"/>
      <charset val="177"/>
    </font>
    <font>
      <sz val="12"/>
      <color rgb="FF0000FF"/>
      <name val="Nirmala UI"/>
      <family val="2"/>
    </font>
    <font>
      <sz val="11"/>
      <color theme="2" tint="-9.9978637043366805E-2"/>
      <name val="Nirmala UI"/>
      <family val="2"/>
    </font>
    <font>
      <b/>
      <sz val="11"/>
      <color rgb="FFFF0000"/>
      <name val="Calibri"/>
      <family val="2"/>
      <scheme val="minor"/>
    </font>
    <font>
      <sz val="9"/>
      <color rgb="FF0707B5"/>
      <name val="Nirmala UI"/>
      <family val="2"/>
    </font>
    <font>
      <b/>
      <sz val="20"/>
      <color rgb="FF0000FF"/>
      <name val="Narkisim"/>
      <family val="2"/>
      <charset val="177"/>
    </font>
    <font>
      <b/>
      <sz val="24"/>
      <color theme="1"/>
      <name val="Narkisim"/>
      <family val="2"/>
      <charset val="177"/>
    </font>
    <font>
      <b/>
      <sz val="24"/>
      <color rgb="FFFF0000"/>
      <name val="Narkisim"/>
      <family val="2"/>
      <charset val="177"/>
    </font>
    <font>
      <b/>
      <sz val="26"/>
      <color rgb="FFFF0000"/>
      <name val="Nirmala UI"/>
      <family val="2"/>
    </font>
    <font>
      <b/>
      <sz val="26"/>
      <color theme="1"/>
      <name val="Nirmala UI"/>
      <family val="2"/>
    </font>
    <font>
      <b/>
      <sz val="14"/>
      <color theme="1"/>
      <name val="Maiandra GD"/>
      <family val="2"/>
    </font>
    <font>
      <b/>
      <sz val="13"/>
      <color rgb="FF0000FF"/>
      <name val="Calibri"/>
      <family val="2"/>
      <scheme val="minor"/>
    </font>
    <font>
      <sz val="14"/>
      <color rgb="FF3333FF"/>
      <name val="Narkisim"/>
      <family val="2"/>
      <charset val="177"/>
    </font>
    <font>
      <sz val="10"/>
      <color rgb="FF3333FF"/>
      <name val="Narkisim"/>
      <family val="2"/>
      <charset val="177"/>
    </font>
    <font>
      <b/>
      <sz val="15"/>
      <color rgb="FFFF0000"/>
      <name val="Nirmala UI"/>
      <family val="2"/>
    </font>
    <font>
      <b/>
      <sz val="16"/>
      <color rgb="FFFF0000"/>
      <name val="Nirmala UI"/>
      <family val="2"/>
    </font>
    <font>
      <b/>
      <sz val="15"/>
      <color theme="1"/>
      <name val="Narkisim"/>
      <family val="2"/>
      <charset val="177"/>
    </font>
    <font>
      <b/>
      <sz val="11"/>
      <color theme="2" tint="-0.249977111117893"/>
      <name val="Nirmala UI"/>
      <family val="2"/>
    </font>
    <font>
      <sz val="10"/>
      <color rgb="FFFF0000"/>
      <name val="Nirmala UI"/>
      <family val="2"/>
    </font>
    <font>
      <b/>
      <sz val="12"/>
      <color rgb="FF0000FF"/>
      <name val="Nirmala UI"/>
      <family val="2"/>
    </font>
    <font>
      <sz val="10.5"/>
      <color theme="1"/>
      <name val="Nirmala UI"/>
      <family val="2"/>
    </font>
    <font>
      <b/>
      <sz val="9"/>
      <color theme="1"/>
      <name val="Calibri Light"/>
      <family val="2"/>
      <scheme val="major"/>
    </font>
    <font>
      <b/>
      <sz val="20"/>
      <color theme="1"/>
      <name val="Wingdings"/>
      <charset val="2"/>
    </font>
    <font>
      <b/>
      <sz val="10"/>
      <color theme="2" tint="-0.249977111117893"/>
      <name val="Nirmala UI"/>
      <family val="2"/>
    </font>
    <font>
      <b/>
      <sz val="12"/>
      <color rgb="FFFFFF00"/>
      <name val="Nirmala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F8A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01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theme="0"/>
      </left>
      <right style="hair">
        <color auto="1"/>
      </right>
      <top style="double">
        <color theme="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theme="0"/>
      </top>
      <bottom style="hair">
        <color auto="1"/>
      </bottom>
      <diagonal/>
    </border>
    <border>
      <left style="hair">
        <color auto="1"/>
      </left>
      <right style="double">
        <color theme="0"/>
      </right>
      <top style="double">
        <color theme="0"/>
      </top>
      <bottom style="hair">
        <color auto="1"/>
      </bottom>
      <diagonal/>
    </border>
    <border>
      <left style="double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theme="0"/>
      </right>
      <top style="hair">
        <color auto="1"/>
      </top>
      <bottom style="hair">
        <color auto="1"/>
      </bottom>
      <diagonal/>
    </border>
    <border>
      <left style="double">
        <color theme="0"/>
      </left>
      <right style="hair">
        <color auto="1"/>
      </right>
      <top style="hair">
        <color auto="1"/>
      </top>
      <bottom style="double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theme="0"/>
      </bottom>
      <diagonal/>
    </border>
    <border>
      <left style="hair">
        <color auto="1"/>
      </left>
      <right style="double">
        <color theme="0"/>
      </right>
      <top style="hair">
        <color auto="1"/>
      </top>
      <bottom style="double">
        <color theme="0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505050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thick">
        <color rgb="FFFF0000"/>
      </top>
      <bottom style="double">
        <color theme="0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double">
        <color indexed="64"/>
      </top>
      <bottom style="hair">
        <color indexed="64"/>
      </bottom>
      <diagonal/>
    </border>
    <border>
      <left/>
      <right style="hair">
        <color auto="1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uble">
        <color theme="0"/>
      </top>
      <bottom style="thick">
        <color rgb="FFFF0000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/>
      <top/>
      <bottom style="hair">
        <color indexed="10"/>
      </bottom>
      <diagonal/>
    </border>
  </borders>
  <cellStyleXfs count="12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3" fillId="13" borderId="0" applyNumberFormat="0" applyBorder="0" applyAlignment="0" applyProtection="0"/>
    <xf numFmtId="9" fontId="45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6" fillId="0" borderId="0"/>
    <xf numFmtId="168" fontId="9" fillId="0" borderId="0" applyFont="0" applyFill="0" applyBorder="0" applyAlignment="0" applyProtection="0"/>
  </cellStyleXfs>
  <cellXfs count="1673">
    <xf numFmtId="0" fontId="0" fillId="0" borderId="0" xfId="0"/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5" fillId="4" borderId="0" xfId="0" applyFont="1" applyFill="1" applyProtection="1"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Protection="1">
      <protection hidden="1"/>
    </xf>
    <xf numFmtId="0" fontId="11" fillId="0" borderId="0" xfId="0" applyFont="1"/>
    <xf numFmtId="9" fontId="12" fillId="2" borderId="1" xfId="0" applyNumberFormat="1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170" fontId="22" fillId="0" borderId="5" xfId="0" applyNumberFormat="1" applyFont="1" applyBorder="1" applyAlignment="1" applyProtection="1">
      <alignment horizontal="center" vertical="center"/>
      <protection hidden="1"/>
    </xf>
    <xf numFmtId="170" fontId="13" fillId="2" borderId="5" xfId="0" applyNumberFormat="1" applyFont="1" applyFill="1" applyBorder="1" applyAlignment="1" applyProtection="1">
      <alignment horizontal="center" vertical="center"/>
      <protection hidden="1"/>
    </xf>
    <xf numFmtId="0" fontId="28" fillId="0" borderId="0" xfId="3" applyFont="1" applyProtection="1">
      <protection hidden="1"/>
    </xf>
    <xf numFmtId="0" fontId="29" fillId="0" borderId="0" xfId="3" applyFont="1" applyProtection="1">
      <protection hidden="1"/>
    </xf>
    <xf numFmtId="10" fontId="29" fillId="0" borderId="0" xfId="3" applyNumberFormat="1" applyFont="1" applyProtection="1">
      <protection hidden="1"/>
    </xf>
    <xf numFmtId="10" fontId="29" fillId="0" borderId="0" xfId="2" applyNumberFormat="1" applyFont="1" applyProtection="1">
      <protection hidden="1"/>
    </xf>
    <xf numFmtId="0" fontId="24" fillId="0" borderId="0" xfId="3" applyFont="1" applyProtection="1">
      <protection hidden="1"/>
    </xf>
    <xf numFmtId="0" fontId="31" fillId="0" borderId="0" xfId="3" applyFont="1" applyProtection="1">
      <protection hidden="1"/>
    </xf>
    <xf numFmtId="0" fontId="30" fillId="0" borderId="15" xfId="3" applyFont="1" applyBorder="1" applyAlignment="1" applyProtection="1">
      <alignment horizontal="right"/>
      <protection hidden="1"/>
    </xf>
    <xf numFmtId="0" fontId="21" fillId="0" borderId="0" xfId="3" applyFont="1" applyAlignment="1" applyProtection="1">
      <alignment horizontal="center"/>
      <protection hidden="1"/>
    </xf>
    <xf numFmtId="0" fontId="29" fillId="0" borderId="17" xfId="3" applyFont="1" applyBorder="1" applyAlignment="1" applyProtection="1">
      <alignment horizontal="right" vertical="center" wrapText="1"/>
      <protection hidden="1"/>
    </xf>
    <xf numFmtId="0" fontId="12" fillId="0" borderId="0" xfId="3" applyFont="1" applyAlignment="1" applyProtection="1">
      <alignment vertical="center"/>
      <protection hidden="1"/>
    </xf>
    <xf numFmtId="0" fontId="20" fillId="0" borderId="0" xfId="3" applyFont="1" applyProtection="1">
      <protection hidden="1"/>
    </xf>
    <xf numFmtId="0" fontId="11" fillId="0" borderId="0" xfId="1" applyFont="1" applyAlignment="1" applyProtection="1">
      <alignment horizontal="center"/>
      <protection hidden="1"/>
    </xf>
    <xf numFmtId="0" fontId="11" fillId="0" borderId="0" xfId="1" applyFont="1" applyProtection="1">
      <protection hidden="1"/>
    </xf>
    <xf numFmtId="0" fontId="11" fillId="0" borderId="0" xfId="5" applyNumberFormat="1" applyFont="1" applyAlignment="1" applyProtection="1">
      <alignment horizontal="right"/>
      <protection hidden="1"/>
    </xf>
    <xf numFmtId="0" fontId="11" fillId="0" borderId="0" xfId="1" applyFont="1" applyAlignment="1" applyProtection="1">
      <alignment horizontal="right"/>
      <protection hidden="1"/>
    </xf>
    <xf numFmtId="0" fontId="32" fillId="0" borderId="3" xfId="1" applyFont="1" applyBorder="1" applyAlignment="1" applyProtection="1">
      <alignment vertical="center"/>
      <protection hidden="1"/>
    </xf>
    <xf numFmtId="0" fontId="32" fillId="0" borderId="4" xfId="1" applyFont="1" applyBorder="1" applyAlignment="1" applyProtection="1">
      <alignment vertical="center"/>
      <protection hidden="1"/>
    </xf>
    <xf numFmtId="0" fontId="15" fillId="0" borderId="0" xfId="1" applyFont="1" applyProtection="1">
      <protection hidden="1"/>
    </xf>
    <xf numFmtId="0" fontId="18" fillId="0" borderId="5" xfId="1" applyFont="1" applyBorder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6" fillId="0" borderId="0" xfId="1" applyFont="1" applyAlignment="1" applyProtection="1">
      <alignment horizontal="center"/>
      <protection hidden="1"/>
    </xf>
    <xf numFmtId="0" fontId="35" fillId="0" borderId="5" xfId="1" applyFont="1" applyBorder="1" applyAlignment="1" applyProtection="1">
      <alignment horizontal="center" vertical="center"/>
      <protection hidden="1"/>
    </xf>
    <xf numFmtId="0" fontId="13" fillId="0" borderId="5" xfId="1" applyFont="1" applyBorder="1" applyAlignment="1" applyProtection="1">
      <alignment horizontal="right" vertical="center"/>
      <protection hidden="1"/>
    </xf>
    <xf numFmtId="0" fontId="36" fillId="0" borderId="5" xfId="1" applyFont="1" applyBorder="1" applyAlignment="1" applyProtection="1">
      <alignment vertical="center"/>
      <protection hidden="1"/>
    </xf>
    <xf numFmtId="0" fontId="36" fillId="0" borderId="5" xfId="1" applyFont="1" applyBorder="1" applyAlignment="1" applyProtection="1">
      <alignment horizontal="right" vertical="center"/>
      <protection hidden="1"/>
    </xf>
    <xf numFmtId="0" fontId="32" fillId="0" borderId="31" xfId="1" applyFont="1" applyBorder="1" applyAlignment="1" applyProtection="1">
      <alignment vertical="center"/>
      <protection hidden="1"/>
    </xf>
    <xf numFmtId="0" fontId="32" fillId="0" borderId="28" xfId="1" applyFont="1" applyBorder="1" applyAlignment="1" applyProtection="1">
      <alignment vertical="center"/>
      <protection hidden="1"/>
    </xf>
    <xf numFmtId="0" fontId="32" fillId="10" borderId="29" xfId="1" applyFont="1" applyFill="1" applyBorder="1" applyAlignment="1" applyProtection="1">
      <alignment horizontal="center" vertical="center"/>
      <protection hidden="1"/>
    </xf>
    <xf numFmtId="0" fontId="32" fillId="0" borderId="3" xfId="1" applyFont="1" applyBorder="1" applyAlignment="1" applyProtection="1">
      <alignment horizontal="left" vertical="center"/>
      <protection hidden="1"/>
    </xf>
    <xf numFmtId="0" fontId="32" fillId="0" borderId="5" xfId="1" applyFont="1" applyBorder="1" applyAlignment="1" applyProtection="1">
      <alignment horizontal="left"/>
      <protection hidden="1"/>
    </xf>
    <xf numFmtId="0" fontId="38" fillId="0" borderId="5" xfId="1" applyFont="1" applyBorder="1" applyAlignment="1" applyProtection="1">
      <alignment horizontal="center" vertical="center"/>
      <protection hidden="1"/>
    </xf>
    <xf numFmtId="0" fontId="22" fillId="0" borderId="5" xfId="1" applyFont="1" applyBorder="1" applyAlignment="1" applyProtection="1">
      <alignment horizontal="left" vertical="center"/>
      <protection hidden="1"/>
    </xf>
    <xf numFmtId="0" fontId="25" fillId="0" borderId="5" xfId="1" applyFont="1" applyBorder="1" applyAlignment="1" applyProtection="1">
      <alignment horizontal="center" vertical="center"/>
      <protection hidden="1"/>
    </xf>
    <xf numFmtId="0" fontId="25" fillId="0" borderId="5" xfId="1" applyFont="1" applyBorder="1" applyAlignment="1" applyProtection="1">
      <alignment horizontal="left" vertical="center"/>
      <protection hidden="1"/>
    </xf>
    <xf numFmtId="0" fontId="13" fillId="0" borderId="3" xfId="1" applyFont="1" applyBorder="1" applyAlignment="1" applyProtection="1">
      <alignment horizontal="left" vertical="center"/>
      <protection hidden="1"/>
    </xf>
    <xf numFmtId="0" fontId="13" fillId="0" borderId="5" xfId="1" applyFont="1" applyBorder="1" applyAlignment="1" applyProtection="1">
      <alignment horizontal="left" vertical="center"/>
      <protection hidden="1"/>
    </xf>
    <xf numFmtId="0" fontId="13" fillId="0" borderId="5" xfId="1" applyFont="1" applyBorder="1" applyAlignment="1" applyProtection="1">
      <alignment horizontal="left"/>
      <protection hidden="1"/>
    </xf>
    <xf numFmtId="0" fontId="40" fillId="0" borderId="5" xfId="1" applyFont="1" applyBorder="1" applyAlignment="1" applyProtection="1">
      <alignment horizontal="center" vertical="center"/>
      <protection hidden="1"/>
    </xf>
    <xf numFmtId="0" fontId="41" fillId="0" borderId="5" xfId="1" applyFont="1" applyBorder="1" applyAlignment="1" applyProtection="1">
      <alignment horizontal="center" vertical="center"/>
      <protection hidden="1"/>
    </xf>
    <xf numFmtId="0" fontId="41" fillId="0" borderId="5" xfId="1" applyFont="1" applyBorder="1" applyAlignment="1" applyProtection="1">
      <alignment horizontal="right" vertical="center"/>
      <protection hidden="1"/>
    </xf>
    <xf numFmtId="171" fontId="12" fillId="0" borderId="27" xfId="1" applyNumberFormat="1" applyFont="1" applyBorder="1" applyAlignment="1" applyProtection="1">
      <alignment horizontal="center" vertical="center"/>
      <protection hidden="1"/>
    </xf>
    <xf numFmtId="171" fontId="12" fillId="0" borderId="30" xfId="1" applyNumberFormat="1" applyFont="1" applyBorder="1" applyAlignment="1" applyProtection="1">
      <alignment horizontal="center" vertical="center"/>
      <protection hidden="1"/>
    </xf>
    <xf numFmtId="0" fontId="13" fillId="0" borderId="3" xfId="1" applyFont="1" applyBorder="1" applyAlignment="1" applyProtection="1">
      <alignment horizontal="right" vertical="center"/>
      <protection hidden="1"/>
    </xf>
    <xf numFmtId="173" fontId="13" fillId="0" borderId="4" xfId="1" applyNumberFormat="1" applyFont="1" applyBorder="1" applyAlignment="1" applyProtection="1">
      <alignment vertical="center"/>
      <protection hidden="1"/>
    </xf>
    <xf numFmtId="0" fontId="13" fillId="0" borderId="3" xfId="1" applyFont="1" applyBorder="1" applyAlignment="1" applyProtection="1">
      <alignment vertical="center"/>
      <protection hidden="1"/>
    </xf>
    <xf numFmtId="0" fontId="9" fillId="0" borderId="0" xfId="6" applyProtection="1">
      <protection hidden="1"/>
    </xf>
    <xf numFmtId="0" fontId="9" fillId="0" borderId="0" xfId="6" applyAlignment="1" applyProtection="1">
      <alignment horizontal="left"/>
      <protection hidden="1"/>
    </xf>
    <xf numFmtId="0" fontId="42" fillId="0" borderId="0" xfId="6" applyFont="1" applyAlignment="1" applyProtection="1">
      <alignment horizontal="center" vertical="center"/>
      <protection hidden="1"/>
    </xf>
    <xf numFmtId="0" fontId="9" fillId="0" borderId="0" xfId="6" applyAlignment="1" applyProtection="1">
      <alignment vertical="center"/>
      <protection hidden="1"/>
    </xf>
    <xf numFmtId="0" fontId="46" fillId="0" borderId="0" xfId="6" applyFont="1" applyProtection="1">
      <protection hidden="1"/>
    </xf>
    <xf numFmtId="0" fontId="32" fillId="0" borderId="0" xfId="0" applyFont="1" applyAlignment="1">
      <alignment horizontal="center" vertical="center"/>
    </xf>
    <xf numFmtId="1" fontId="32" fillId="2" borderId="0" xfId="0" applyNumberFormat="1" applyFont="1" applyFill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1" fontId="21" fillId="0" borderId="12" xfId="0" applyNumberFormat="1" applyFont="1" applyBorder="1" applyAlignment="1" applyProtection="1">
      <alignment horizontal="right" vertical="center"/>
      <protection hidden="1"/>
    </xf>
    <xf numFmtId="1" fontId="12" fillId="0" borderId="12" xfId="3" applyNumberFormat="1" applyFont="1" applyBorder="1" applyAlignment="1" applyProtection="1">
      <alignment horizontal="right" vertical="center"/>
      <protection hidden="1"/>
    </xf>
    <xf numFmtId="170" fontId="15" fillId="0" borderId="1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hidden="1"/>
    </xf>
    <xf numFmtId="0" fontId="14" fillId="0" borderId="1" xfId="0" applyFont="1" applyBorder="1"/>
    <xf numFmtId="0" fontId="14" fillId="0" borderId="1" xfId="0" applyFont="1" applyBorder="1" applyAlignment="1" applyProtection="1">
      <alignment horizontal="right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0" fontId="21" fillId="0" borderId="5" xfId="0" applyFont="1" applyBorder="1" applyAlignment="1" applyProtection="1">
      <alignment horizontal="left" vertical="center"/>
      <protection hidden="1"/>
    </xf>
    <xf numFmtId="0" fontId="17" fillId="0" borderId="5" xfId="0" applyFont="1" applyBorder="1" applyAlignment="1" applyProtection="1">
      <alignment horizontal="left" vertical="center"/>
      <protection hidden="1"/>
    </xf>
    <xf numFmtId="1" fontId="32" fillId="0" borderId="5" xfId="0" applyNumberFormat="1" applyFont="1" applyBorder="1" applyProtection="1">
      <protection hidden="1"/>
    </xf>
    <xf numFmtId="0" fontId="32" fillId="0" borderId="5" xfId="0" applyFont="1" applyBorder="1" applyProtection="1">
      <protection hidden="1"/>
    </xf>
    <xf numFmtId="1" fontId="32" fillId="2" borderId="5" xfId="0" applyNumberFormat="1" applyFont="1" applyFill="1" applyBorder="1" applyAlignment="1" applyProtection="1">
      <alignment horizontal="center"/>
      <protection hidden="1"/>
    </xf>
    <xf numFmtId="1" fontId="48" fillId="0" borderId="5" xfId="0" applyNumberFormat="1" applyFont="1" applyBorder="1" applyAlignment="1" applyProtection="1">
      <alignment horizontal="left"/>
      <protection hidden="1"/>
    </xf>
    <xf numFmtId="0" fontId="59" fillId="0" borderId="5" xfId="0" applyFont="1" applyBorder="1" applyAlignment="1" applyProtection="1">
      <alignment horizontal="center" vertical="center"/>
      <protection hidden="1"/>
    </xf>
    <xf numFmtId="1" fontId="60" fillId="0" borderId="5" xfId="0" applyNumberFormat="1" applyFont="1" applyBorder="1" applyAlignment="1" applyProtection="1">
      <alignment horizontal="left"/>
      <protection hidden="1"/>
    </xf>
    <xf numFmtId="0" fontId="61" fillId="0" borderId="5" xfId="0" applyFont="1" applyBorder="1" applyAlignment="1" applyProtection="1">
      <alignment horizontal="center" vertical="center"/>
      <protection hidden="1"/>
    </xf>
    <xf numFmtId="176" fontId="12" fillId="2" borderId="4" xfId="0" applyNumberFormat="1" applyFont="1" applyFill="1" applyBorder="1" applyAlignment="1" applyProtection="1">
      <alignment horizontal="right" vertical="center"/>
      <protection hidden="1"/>
    </xf>
    <xf numFmtId="0" fontId="13" fillId="15" borderId="5" xfId="0" applyFont="1" applyFill="1" applyBorder="1" applyAlignment="1" applyProtection="1">
      <alignment horizontal="left" vertical="center"/>
      <protection hidden="1"/>
    </xf>
    <xf numFmtId="0" fontId="32" fillId="15" borderId="5" xfId="0" applyFont="1" applyFill="1" applyBorder="1" applyAlignment="1" applyProtection="1">
      <alignment horizontal="left" vertical="center"/>
      <protection hidden="1"/>
    </xf>
    <xf numFmtId="176" fontId="12" fillId="15" borderId="5" xfId="0" applyNumberFormat="1" applyFont="1" applyFill="1" applyBorder="1" applyAlignment="1" applyProtection="1">
      <alignment horizontal="right" vertical="center"/>
      <protection hidden="1"/>
    </xf>
    <xf numFmtId="176" fontId="14" fillId="0" borderId="5" xfId="0" applyNumberFormat="1" applyFont="1" applyBorder="1" applyAlignment="1" applyProtection="1">
      <alignment horizontal="right"/>
      <protection hidden="1"/>
    </xf>
    <xf numFmtId="0" fontId="63" fillId="0" borderId="0" xfId="6" applyFont="1" applyProtection="1">
      <protection hidden="1"/>
    </xf>
    <xf numFmtId="0" fontId="0" fillId="0" borderId="0" xfId="0" applyProtection="1">
      <protection hidden="1"/>
    </xf>
    <xf numFmtId="0" fontId="18" fillId="0" borderId="5" xfId="0" applyFont="1" applyBorder="1" applyAlignment="1" applyProtection="1">
      <alignment horizontal="center" vertical="center"/>
      <protection locked="0"/>
    </xf>
    <xf numFmtId="10" fontId="18" fillId="0" borderId="5" xfId="2" applyNumberFormat="1" applyFont="1" applyFill="1" applyBorder="1" applyAlignment="1" applyProtection="1">
      <alignment horizontal="center" vertical="center"/>
      <protection locked="0"/>
    </xf>
    <xf numFmtId="171" fontId="12" fillId="0" borderId="32" xfId="0" applyNumberFormat="1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10" fontId="18" fillId="0" borderId="32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3" fillId="0" borderId="0" xfId="0" applyFont="1" applyAlignment="1">
      <alignment horizontal="right" vertical="center"/>
    </xf>
    <xf numFmtId="0" fontId="13" fillId="0" borderId="5" xfId="0" applyFont="1" applyBorder="1"/>
    <xf numFmtId="14" fontId="13" fillId="0" borderId="5" xfId="0" applyNumberFormat="1" applyFont="1" applyBorder="1" applyAlignment="1">
      <alignment horizontal="right" vertical="center"/>
    </xf>
    <xf numFmtId="0" fontId="16" fillId="0" borderId="5" xfId="0" applyFont="1" applyBorder="1"/>
    <xf numFmtId="0" fontId="16" fillId="0" borderId="5" xfId="0" applyFont="1" applyBorder="1" applyAlignment="1">
      <alignment horizontal="left" vertical="center"/>
    </xf>
    <xf numFmtId="170" fontId="66" fillId="4" borderId="1" xfId="0" applyNumberFormat="1" applyFont="1" applyFill="1" applyBorder="1" applyAlignment="1" applyProtection="1">
      <alignment horizontal="center" vertical="center"/>
      <protection hidden="1"/>
    </xf>
    <xf numFmtId="0" fontId="21" fillId="2" borderId="51" xfId="0" applyFont="1" applyFill="1" applyBorder="1" applyAlignment="1" applyProtection="1">
      <alignment horizontal="center" vertical="center" wrapText="1"/>
      <protection hidden="1"/>
    </xf>
    <xf numFmtId="0" fontId="21" fillId="2" borderId="41" xfId="0" applyFont="1" applyFill="1" applyBorder="1" applyAlignment="1" applyProtection="1">
      <alignment horizontal="center" vertical="center" wrapText="1"/>
      <protection hidden="1"/>
    </xf>
    <xf numFmtId="0" fontId="21" fillId="2" borderId="42" xfId="0" applyFont="1" applyFill="1" applyBorder="1" applyAlignment="1" applyProtection="1">
      <alignment horizontal="center" vertical="center" wrapText="1"/>
      <protection hidden="1"/>
    </xf>
    <xf numFmtId="0" fontId="34" fillId="12" borderId="3" xfId="1" applyFont="1" applyFill="1" applyBorder="1" applyAlignment="1" applyProtection="1">
      <alignment vertical="center"/>
      <protection hidden="1"/>
    </xf>
    <xf numFmtId="0" fontId="70" fillId="12" borderId="2" xfId="1" applyFont="1" applyFill="1" applyBorder="1" applyAlignment="1" applyProtection="1">
      <alignment horizontal="center" vertical="center"/>
      <protection hidden="1"/>
    </xf>
    <xf numFmtId="174" fontId="12" fillId="16" borderId="5" xfId="8" applyNumberFormat="1" applyFont="1" applyFill="1" applyBorder="1" applyAlignment="1" applyProtection="1">
      <alignment horizontal="center"/>
      <protection hidden="1"/>
    </xf>
    <xf numFmtId="175" fontId="49" fillId="16" borderId="5" xfId="7" applyNumberFormat="1" applyFont="1" applyFill="1" applyBorder="1" applyAlignment="1" applyProtection="1">
      <alignment horizontal="center"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24" fillId="16" borderId="15" xfId="1" applyFont="1" applyFill="1" applyBorder="1" applyAlignment="1" applyProtection="1">
      <alignment horizontal="center"/>
      <protection hidden="1"/>
    </xf>
    <xf numFmtId="0" fontId="24" fillId="16" borderId="25" xfId="1" applyFont="1" applyFill="1" applyBorder="1" applyAlignment="1" applyProtection="1">
      <alignment horizontal="center"/>
      <protection hidden="1"/>
    </xf>
    <xf numFmtId="0" fontId="24" fillId="16" borderId="24" xfId="1" applyFont="1" applyFill="1" applyBorder="1" applyAlignment="1" applyProtection="1">
      <alignment horizontal="center"/>
      <protection hidden="1"/>
    </xf>
    <xf numFmtId="0" fontId="21" fillId="8" borderId="11" xfId="3" applyFont="1" applyFill="1" applyBorder="1" applyAlignment="1" applyProtection="1">
      <alignment horizontal="center" vertical="center"/>
      <protection hidden="1"/>
    </xf>
    <xf numFmtId="0" fontId="30" fillId="8" borderId="61" xfId="3" applyFont="1" applyFill="1" applyBorder="1" applyAlignment="1" applyProtection="1">
      <alignment horizontal="center" vertical="center" wrapText="1"/>
      <protection hidden="1"/>
    </xf>
    <xf numFmtId="0" fontId="30" fillId="8" borderId="61" xfId="3" applyFont="1" applyFill="1" applyBorder="1" applyAlignment="1" applyProtection="1">
      <alignment horizontal="center" vertical="center"/>
      <protection hidden="1"/>
    </xf>
    <xf numFmtId="0" fontId="27" fillId="8" borderId="61" xfId="3" applyFont="1" applyFill="1" applyBorder="1" applyAlignment="1" applyProtection="1">
      <alignment horizontal="center" vertical="center" wrapText="1"/>
      <protection hidden="1"/>
    </xf>
    <xf numFmtId="0" fontId="20" fillId="8" borderId="61" xfId="3" applyFont="1" applyFill="1" applyBorder="1" applyAlignment="1" applyProtection="1">
      <alignment horizontal="center" vertical="center" wrapText="1"/>
      <protection hidden="1"/>
    </xf>
    <xf numFmtId="0" fontId="30" fillId="8" borderId="61" xfId="3" applyFont="1" applyFill="1" applyBorder="1" applyAlignment="1" applyProtection="1">
      <alignment horizontal="center" vertical="center" textRotation="90"/>
      <protection hidden="1"/>
    </xf>
    <xf numFmtId="0" fontId="30" fillId="8" borderId="61" xfId="3" applyFont="1" applyFill="1" applyBorder="1" applyAlignment="1" applyProtection="1">
      <alignment horizontal="center" vertical="center" textRotation="90" wrapText="1"/>
      <protection hidden="1"/>
    </xf>
    <xf numFmtId="0" fontId="20" fillId="8" borderId="61" xfId="3" applyFont="1" applyFill="1" applyBorder="1" applyAlignment="1" applyProtection="1">
      <alignment horizontal="center" vertical="center" textRotation="90"/>
      <protection hidden="1"/>
    </xf>
    <xf numFmtId="0" fontId="21" fillId="8" borderId="61" xfId="3" applyFont="1" applyFill="1" applyBorder="1" applyAlignment="1" applyProtection="1">
      <alignment horizontal="center" vertical="center"/>
      <protection hidden="1"/>
    </xf>
    <xf numFmtId="0" fontId="20" fillId="8" borderId="62" xfId="3" applyFont="1" applyFill="1" applyBorder="1" applyAlignment="1" applyProtection="1">
      <alignment horizontal="center" vertical="center" wrapText="1"/>
      <protection hidden="1"/>
    </xf>
    <xf numFmtId="1" fontId="19" fillId="0" borderId="32" xfId="0" applyNumberFormat="1" applyFont="1" applyBorder="1" applyAlignment="1" applyProtection="1">
      <alignment horizontal="center" vertical="center"/>
      <protection locked="0"/>
    </xf>
    <xf numFmtId="0" fontId="33" fillId="0" borderId="4" xfId="1" applyFont="1" applyBorder="1" applyAlignment="1" applyProtection="1">
      <alignment horizontal="right"/>
      <protection hidden="1"/>
    </xf>
    <xf numFmtId="176" fontId="72" fillId="0" borderId="5" xfId="9" applyNumberFormat="1" applyFont="1" applyBorder="1" applyAlignment="1" applyProtection="1">
      <alignment horizontal="right" vertical="center"/>
      <protection hidden="1"/>
    </xf>
    <xf numFmtId="0" fontId="73" fillId="2" borderId="43" xfId="0" applyFont="1" applyFill="1" applyBorder="1" applyAlignment="1" applyProtection="1">
      <alignment horizontal="left" vertical="center"/>
      <protection hidden="1"/>
    </xf>
    <xf numFmtId="0" fontId="12" fillId="2" borderId="5" xfId="6" applyFont="1" applyFill="1" applyBorder="1" applyAlignment="1" applyProtection="1">
      <alignment horizontal="left" vertical="center"/>
      <protection hidden="1"/>
    </xf>
    <xf numFmtId="0" fontId="9" fillId="4" borderId="36" xfId="6" applyFill="1" applyBorder="1" applyProtection="1">
      <protection hidden="1"/>
    </xf>
    <xf numFmtId="0" fontId="9" fillId="4" borderId="39" xfId="6" applyFill="1" applyBorder="1" applyProtection="1">
      <protection hidden="1"/>
    </xf>
    <xf numFmtId="0" fontId="9" fillId="4" borderId="47" xfId="6" applyFill="1" applyBorder="1" applyProtection="1">
      <protection hidden="1"/>
    </xf>
    <xf numFmtId="0" fontId="42" fillId="4" borderId="49" xfId="6" applyFont="1" applyFill="1" applyBorder="1" applyAlignment="1" applyProtection="1">
      <alignment horizontal="center" vertical="center"/>
      <protection hidden="1"/>
    </xf>
    <xf numFmtId="0" fontId="42" fillId="4" borderId="38" xfId="6" applyFont="1" applyFill="1" applyBorder="1" applyAlignment="1" applyProtection="1">
      <alignment horizontal="center" vertical="center"/>
      <protection hidden="1"/>
    </xf>
    <xf numFmtId="0" fontId="42" fillId="4" borderId="40" xfId="6" applyFont="1" applyFill="1" applyBorder="1" applyAlignment="1" applyProtection="1">
      <alignment horizontal="center" vertical="center"/>
      <protection hidden="1"/>
    </xf>
    <xf numFmtId="0" fontId="58" fillId="4" borderId="37" xfId="6" applyFont="1" applyFill="1" applyBorder="1" applyProtection="1">
      <protection hidden="1"/>
    </xf>
    <xf numFmtId="0" fontId="52" fillId="2" borderId="5" xfId="6" applyFont="1" applyFill="1" applyBorder="1" applyAlignment="1" applyProtection="1">
      <alignment horizontal="center" vertical="center"/>
      <protection hidden="1"/>
    </xf>
    <xf numFmtId="0" fontId="15" fillId="8" borderId="5" xfId="6" applyFont="1" applyFill="1" applyBorder="1" applyAlignment="1" applyProtection="1">
      <alignment horizontal="left" vertical="center"/>
      <protection hidden="1"/>
    </xf>
    <xf numFmtId="0" fontId="51" fillId="8" borderId="5" xfId="6" applyFont="1" applyFill="1" applyBorder="1" applyAlignment="1" applyProtection="1">
      <alignment horizontal="center" vertical="center"/>
      <protection hidden="1"/>
    </xf>
    <xf numFmtId="0" fontId="15" fillId="16" borderId="5" xfId="7" applyFont="1" applyFill="1" applyBorder="1" applyAlignment="1" applyProtection="1">
      <alignment vertical="center"/>
      <protection hidden="1"/>
    </xf>
    <xf numFmtId="175" fontId="40" fillId="16" borderId="5" xfId="7" applyNumberFormat="1" applyFont="1" applyFill="1" applyBorder="1" applyAlignment="1" applyProtection="1">
      <alignment horizontal="center" vertical="center"/>
      <protection hidden="1"/>
    </xf>
    <xf numFmtId="175" fontId="29" fillId="7" borderId="5" xfId="7" applyNumberFormat="1" applyFont="1" applyFill="1" applyBorder="1" applyAlignment="1" applyProtection="1">
      <alignment horizontal="center" vertical="center"/>
      <protection hidden="1"/>
    </xf>
    <xf numFmtId="0" fontId="29" fillId="7" borderId="5" xfId="7" applyFont="1" applyFill="1" applyBorder="1" applyAlignment="1" applyProtection="1">
      <alignment horizontal="center" vertical="center"/>
      <protection hidden="1"/>
    </xf>
    <xf numFmtId="0" fontId="12" fillId="2" borderId="64" xfId="6" applyFont="1" applyFill="1" applyBorder="1" applyAlignment="1" applyProtection="1">
      <alignment horizontal="left" vertical="center"/>
      <protection hidden="1"/>
    </xf>
    <xf numFmtId="0" fontId="12" fillId="2" borderId="65" xfId="6" applyFont="1" applyFill="1" applyBorder="1" applyAlignment="1" applyProtection="1">
      <alignment horizontal="left" vertical="center"/>
      <protection hidden="1"/>
    </xf>
    <xf numFmtId="0" fontId="50" fillId="2" borderId="65" xfId="6" applyFont="1" applyFill="1" applyBorder="1" applyAlignment="1" applyProtection="1">
      <alignment horizontal="center" vertical="center"/>
      <protection hidden="1"/>
    </xf>
    <xf numFmtId="0" fontId="69" fillId="8" borderId="67" xfId="6" applyFont="1" applyFill="1" applyBorder="1" applyAlignment="1" applyProtection="1">
      <alignment horizontal="left" vertical="center"/>
      <protection hidden="1"/>
    </xf>
    <xf numFmtId="0" fontId="34" fillId="2" borderId="67" xfId="6" applyFont="1" applyFill="1" applyBorder="1" applyAlignment="1" applyProtection="1">
      <alignment horizontal="left" vertical="center"/>
      <protection hidden="1"/>
    </xf>
    <xf numFmtId="175" fontId="29" fillId="7" borderId="67" xfId="7" applyNumberFormat="1" applyFont="1" applyFill="1" applyBorder="1" applyAlignment="1" applyProtection="1">
      <alignment horizontal="center" vertical="center"/>
      <protection hidden="1"/>
    </xf>
    <xf numFmtId="175" fontId="29" fillId="7" borderId="68" xfId="7" applyNumberFormat="1" applyFont="1" applyFill="1" applyBorder="1" applyAlignment="1" applyProtection="1">
      <alignment horizontal="center" vertical="center"/>
      <protection hidden="1"/>
    </xf>
    <xf numFmtId="0" fontId="19" fillId="16" borderId="67" xfId="6" applyFont="1" applyFill="1" applyBorder="1" applyAlignment="1" applyProtection="1">
      <alignment horizontal="center" vertical="center"/>
      <protection hidden="1"/>
    </xf>
    <xf numFmtId="0" fontId="12" fillId="16" borderId="67" xfId="6" applyFont="1" applyFill="1" applyBorder="1" applyAlignment="1" applyProtection="1">
      <alignment horizontal="center" vertical="center"/>
      <protection hidden="1"/>
    </xf>
    <xf numFmtId="0" fontId="13" fillId="16" borderId="67" xfId="7" applyFont="1" applyFill="1" applyBorder="1" applyAlignment="1" applyProtection="1">
      <alignment vertical="center"/>
      <protection hidden="1"/>
    </xf>
    <xf numFmtId="0" fontId="47" fillId="16" borderId="67" xfId="7" applyFont="1" applyFill="1" applyBorder="1" applyAlignment="1" applyProtection="1">
      <protection hidden="1"/>
    </xf>
    <xf numFmtId="0" fontId="29" fillId="2" borderId="69" xfId="7" applyFont="1" applyFill="1" applyBorder="1" applyAlignment="1" applyProtection="1">
      <alignment vertical="center"/>
      <protection hidden="1"/>
    </xf>
    <xf numFmtId="175" fontId="50" fillId="2" borderId="70" xfId="7" applyNumberFormat="1" applyFont="1" applyFill="1" applyBorder="1" applyAlignment="1" applyProtection="1">
      <alignment horizontal="center" vertical="center"/>
      <protection hidden="1"/>
    </xf>
    <xf numFmtId="0" fontId="9" fillId="0" borderId="0" xfId="1"/>
    <xf numFmtId="0" fontId="9" fillId="0" borderId="0" xfId="1" applyAlignment="1">
      <alignment horizontal="center" vertical="center"/>
    </xf>
    <xf numFmtId="0" fontId="75" fillId="0" borderId="0" xfId="1" applyFont="1"/>
    <xf numFmtId="0" fontId="81" fillId="0" borderId="76" xfId="1" applyFont="1" applyBorder="1" applyAlignment="1" applyProtection="1">
      <alignment horizontal="center" vertical="center"/>
      <protection hidden="1"/>
    </xf>
    <xf numFmtId="0" fontId="82" fillId="0" borderId="77" xfId="1" applyFont="1" applyBorder="1" applyAlignment="1" applyProtection="1">
      <alignment horizontal="right" vertical="center"/>
      <protection hidden="1"/>
    </xf>
    <xf numFmtId="0" fontId="82" fillId="0" borderId="78" xfId="1" applyFont="1" applyBorder="1" applyAlignment="1" applyProtection="1">
      <alignment horizontal="right" vertical="center"/>
      <protection hidden="1"/>
    </xf>
    <xf numFmtId="0" fontId="81" fillId="0" borderId="80" xfId="1" applyFont="1" applyBorder="1" applyAlignment="1" applyProtection="1">
      <alignment horizontal="center" vertical="center"/>
      <protection hidden="1"/>
    </xf>
    <xf numFmtId="3" fontId="84" fillId="0" borderId="0" xfId="1" applyNumberFormat="1" applyFont="1" applyAlignment="1" applyProtection="1">
      <alignment horizontal="right" vertical="center"/>
      <protection hidden="1"/>
    </xf>
    <xf numFmtId="173" fontId="77" fillId="0" borderId="82" xfId="1" applyNumberFormat="1" applyFont="1" applyBorder="1" applyAlignment="1" applyProtection="1">
      <alignment vertical="center"/>
      <protection hidden="1"/>
    </xf>
    <xf numFmtId="0" fontId="84" fillId="0" borderId="83" xfId="1" applyFont="1" applyBorder="1" applyAlignment="1" applyProtection="1">
      <alignment vertical="center"/>
      <protection hidden="1"/>
    </xf>
    <xf numFmtId="0" fontId="86" fillId="0" borderId="0" xfId="1" applyFont="1" applyAlignment="1" applyProtection="1">
      <alignment horizontal="left" vertical="center"/>
      <protection hidden="1"/>
    </xf>
    <xf numFmtId="0" fontId="85" fillId="0" borderId="0" xfId="1" applyFont="1" applyAlignment="1" applyProtection="1">
      <alignment horizontal="left" vertical="center"/>
      <protection hidden="1"/>
    </xf>
    <xf numFmtId="0" fontId="86" fillId="0" borderId="0" xfId="1" applyFont="1" applyAlignment="1" applyProtection="1">
      <alignment vertical="center"/>
      <protection hidden="1"/>
    </xf>
    <xf numFmtId="173" fontId="77" fillId="0" borderId="26" xfId="1" applyNumberFormat="1" applyFont="1" applyBorder="1" applyAlignment="1" applyProtection="1">
      <alignment vertical="center"/>
      <protection hidden="1"/>
    </xf>
    <xf numFmtId="173" fontId="77" fillId="0" borderId="0" xfId="1" applyNumberFormat="1" applyFont="1" applyAlignment="1" applyProtection="1">
      <alignment vertical="center"/>
      <protection hidden="1"/>
    </xf>
    <xf numFmtId="3" fontId="84" fillId="0" borderId="0" xfId="1" applyNumberFormat="1" applyFont="1" applyAlignment="1" applyProtection="1">
      <alignment vertical="center"/>
      <protection hidden="1"/>
    </xf>
    <xf numFmtId="0" fontId="78" fillId="0" borderId="0" xfId="1" applyFont="1" applyAlignment="1" applyProtection="1">
      <alignment vertical="center"/>
      <protection hidden="1"/>
    </xf>
    <xf numFmtId="173" fontId="9" fillId="0" borderId="0" xfId="1" applyNumberFormat="1"/>
    <xf numFmtId="3" fontId="85" fillId="0" borderId="0" xfId="1" applyNumberFormat="1" applyFont="1" applyAlignment="1" applyProtection="1">
      <alignment horizontal="left" vertical="center"/>
      <protection hidden="1"/>
    </xf>
    <xf numFmtId="3" fontId="85" fillId="0" borderId="12" xfId="1" applyNumberFormat="1" applyFont="1" applyBorder="1" applyAlignment="1" applyProtection="1">
      <alignment horizontal="center" vertical="center"/>
      <protection hidden="1"/>
    </xf>
    <xf numFmtId="0" fontId="85" fillId="0" borderId="0" xfId="1" applyFont="1" applyAlignment="1" applyProtection="1">
      <alignment vertical="center"/>
      <protection hidden="1"/>
    </xf>
    <xf numFmtId="3" fontId="85" fillId="0" borderId="0" xfId="1" applyNumberFormat="1" applyFont="1" applyAlignment="1" applyProtection="1">
      <alignment horizontal="right" vertical="center"/>
      <protection hidden="1"/>
    </xf>
    <xf numFmtId="0" fontId="85" fillId="0" borderId="83" xfId="1" applyFont="1" applyBorder="1" applyAlignment="1" applyProtection="1">
      <alignment vertical="center"/>
      <protection hidden="1"/>
    </xf>
    <xf numFmtId="0" fontId="44" fillId="0" borderId="0" xfId="1" applyFont="1" applyProtection="1">
      <protection hidden="1"/>
    </xf>
    <xf numFmtId="173" fontId="89" fillId="0" borderId="0" xfId="1" applyNumberFormat="1" applyFont="1" applyAlignment="1" applyProtection="1">
      <alignment horizontal="center" vertical="center"/>
      <protection hidden="1"/>
    </xf>
    <xf numFmtId="0" fontId="44" fillId="0" borderId="0" xfId="1" applyFont="1" applyAlignment="1" applyProtection="1">
      <alignment horizontal="center" vertical="center"/>
      <protection hidden="1"/>
    </xf>
    <xf numFmtId="173" fontId="90" fillId="0" borderId="0" xfId="1" applyNumberFormat="1" applyFont="1" applyAlignment="1" applyProtection="1">
      <alignment vertical="center"/>
      <protection hidden="1"/>
    </xf>
    <xf numFmtId="3" fontId="91" fillId="0" borderId="0" xfId="1" applyNumberFormat="1" applyFont="1" applyAlignment="1" applyProtection="1">
      <alignment horizontal="left" vertical="center"/>
      <protection hidden="1"/>
    </xf>
    <xf numFmtId="3" fontId="91" fillId="0" borderId="0" xfId="1" applyNumberFormat="1" applyFont="1" applyAlignment="1" applyProtection="1">
      <alignment vertical="center"/>
      <protection hidden="1"/>
    </xf>
    <xf numFmtId="0" fontId="85" fillId="0" borderId="0" xfId="1" applyFont="1" applyAlignment="1" applyProtection="1">
      <alignment horizontal="right" vertical="center"/>
      <protection hidden="1"/>
    </xf>
    <xf numFmtId="173" fontId="77" fillId="0" borderId="21" xfId="1" applyNumberFormat="1" applyFont="1" applyBorder="1" applyAlignment="1" applyProtection="1">
      <alignment vertical="center"/>
      <protection hidden="1"/>
    </xf>
    <xf numFmtId="0" fontId="85" fillId="0" borderId="12" xfId="1" applyFont="1" applyBorder="1" applyAlignment="1" applyProtection="1">
      <alignment horizontal="center" vertical="center"/>
      <protection hidden="1"/>
    </xf>
    <xf numFmtId="0" fontId="84" fillId="0" borderId="0" xfId="1" applyFont="1" applyAlignment="1" applyProtection="1">
      <alignment vertical="center"/>
      <protection hidden="1"/>
    </xf>
    <xf numFmtId="1" fontId="85" fillId="0" borderId="89" xfId="1" applyNumberFormat="1" applyFont="1" applyBorder="1" applyAlignment="1" applyProtection="1">
      <alignment horizontal="center" vertical="center"/>
      <protection hidden="1"/>
    </xf>
    <xf numFmtId="1" fontId="85" fillId="0" borderId="61" xfId="1" applyNumberFormat="1" applyFont="1" applyBorder="1" applyAlignment="1" applyProtection="1">
      <alignment horizontal="center" vertical="center"/>
      <protection hidden="1"/>
    </xf>
    <xf numFmtId="0" fontId="85" fillId="0" borderId="77" xfId="1" applyFont="1" applyBorder="1" applyAlignment="1" applyProtection="1">
      <alignment horizontal="center" vertical="center"/>
      <protection hidden="1"/>
    </xf>
    <xf numFmtId="0" fontId="85" fillId="0" borderId="12" xfId="1" applyFont="1" applyBorder="1" applyAlignment="1" applyProtection="1">
      <alignment horizontal="center" vertical="center" wrapText="1"/>
      <protection hidden="1"/>
    </xf>
    <xf numFmtId="0" fontId="26" fillId="0" borderId="0" xfId="10"/>
    <xf numFmtId="0" fontId="97" fillId="0" borderId="0" xfId="10" applyFont="1" applyAlignment="1">
      <alignment vertical="center"/>
    </xf>
    <xf numFmtId="0" fontId="9" fillId="0" borderId="0" xfId="1" applyProtection="1">
      <protection hidden="1"/>
    </xf>
    <xf numFmtId="0" fontId="101" fillId="0" borderId="17" xfId="1" applyFont="1" applyBorder="1" applyAlignment="1" applyProtection="1">
      <alignment horizontal="right" vertical="center"/>
      <protection hidden="1"/>
    </xf>
    <xf numFmtId="0" fontId="101" fillId="0" borderId="105" xfId="1" applyFont="1" applyBorder="1" applyAlignment="1" applyProtection="1">
      <alignment horizontal="right" vertical="center"/>
      <protection hidden="1"/>
    </xf>
    <xf numFmtId="166" fontId="102" fillId="0" borderId="26" xfId="1" applyNumberFormat="1" applyFont="1" applyBorder="1" applyAlignment="1" applyProtection="1">
      <alignment horizontal="left" vertical="center"/>
      <protection hidden="1"/>
    </xf>
    <xf numFmtId="166" fontId="102" fillId="0" borderId="0" xfId="1" applyNumberFormat="1" applyFont="1" applyAlignment="1" applyProtection="1">
      <alignment horizontal="left" vertical="center"/>
      <protection hidden="1"/>
    </xf>
    <xf numFmtId="0" fontId="103" fillId="0" borderId="0" xfId="1" applyFont="1" applyAlignment="1" applyProtection="1">
      <alignment horizontal="right" vertical="center"/>
      <protection hidden="1"/>
    </xf>
    <xf numFmtId="0" fontId="104" fillId="0" borderId="0" xfId="1" applyFont="1" applyProtection="1">
      <protection hidden="1"/>
    </xf>
    <xf numFmtId="0" fontId="104" fillId="0" borderId="25" xfId="1" applyFont="1" applyBorder="1" applyProtection="1">
      <protection hidden="1"/>
    </xf>
    <xf numFmtId="0" fontId="44" fillId="0" borderId="0" xfId="1" applyFont="1" applyAlignment="1" applyProtection="1">
      <alignment horizontal="right" vertical="center"/>
      <protection hidden="1"/>
    </xf>
    <xf numFmtId="0" fontId="46" fillId="0" borderId="0" xfId="1" applyFont="1" applyProtection="1">
      <protection hidden="1"/>
    </xf>
    <xf numFmtId="179" fontId="105" fillId="0" borderId="0" xfId="1" applyNumberFormat="1" applyFont="1" applyAlignment="1" applyProtection="1">
      <alignment horizontal="left"/>
      <protection hidden="1"/>
    </xf>
    <xf numFmtId="179" fontId="105" fillId="0" borderId="0" xfId="1" applyNumberFormat="1" applyFont="1" applyProtection="1">
      <protection hidden="1"/>
    </xf>
    <xf numFmtId="0" fontId="102" fillId="0" borderId="25" xfId="1" applyFont="1" applyBorder="1" applyAlignment="1" applyProtection="1">
      <alignment vertical="center"/>
      <protection hidden="1"/>
    </xf>
    <xf numFmtId="0" fontId="106" fillId="0" borderId="26" xfId="1" applyFont="1" applyBorder="1" applyAlignment="1" applyProtection="1">
      <alignment vertical="center"/>
      <protection hidden="1"/>
    </xf>
    <xf numFmtId="0" fontId="106" fillId="0" borderId="0" xfId="1" applyFont="1" applyAlignment="1" applyProtection="1">
      <alignment vertical="center"/>
      <protection hidden="1"/>
    </xf>
    <xf numFmtId="0" fontId="107" fillId="0" borderId="0" xfId="1" applyFont="1" applyAlignment="1" applyProtection="1">
      <alignment vertical="center"/>
      <protection hidden="1"/>
    </xf>
    <xf numFmtId="0" fontId="106" fillId="0" borderId="0" xfId="1" applyFont="1" applyProtection="1">
      <protection hidden="1"/>
    </xf>
    <xf numFmtId="0" fontId="106" fillId="0" borderId="25" xfId="1" applyFont="1" applyBorder="1" applyProtection="1">
      <protection hidden="1"/>
    </xf>
    <xf numFmtId="0" fontId="108" fillId="0" borderId="25" xfId="1" applyFont="1" applyBorder="1" applyProtection="1">
      <protection hidden="1"/>
    </xf>
    <xf numFmtId="0" fontId="108" fillId="0" borderId="25" xfId="1" applyFont="1" applyBorder="1" applyAlignment="1" applyProtection="1">
      <alignment vertical="center"/>
      <protection hidden="1"/>
    </xf>
    <xf numFmtId="0" fontId="109" fillId="0" borderId="25" xfId="1" applyFont="1" applyBorder="1" applyProtection="1">
      <protection hidden="1"/>
    </xf>
    <xf numFmtId="49" fontId="101" fillId="0" borderId="20" xfId="1" applyNumberFormat="1" applyFont="1" applyBorder="1" applyAlignment="1" applyProtection="1">
      <alignment horizontal="center" vertical="center"/>
      <protection hidden="1"/>
    </xf>
    <xf numFmtId="180" fontId="88" fillId="0" borderId="12" xfId="1" applyNumberFormat="1" applyFont="1" applyBorder="1" applyAlignment="1" applyProtection="1">
      <alignment horizontal="center" vertical="center"/>
      <protection hidden="1"/>
    </xf>
    <xf numFmtId="49" fontId="101" fillId="0" borderId="12" xfId="1" applyNumberFormat="1" applyFont="1" applyBorder="1" applyAlignment="1" applyProtection="1">
      <alignment horizontal="center" vertical="center"/>
      <protection hidden="1"/>
    </xf>
    <xf numFmtId="171" fontId="112" fillId="0" borderId="87" xfId="1" applyNumberFormat="1" applyFont="1" applyBorder="1" applyAlignment="1" applyProtection="1">
      <alignment horizontal="center" vertical="center"/>
      <protection hidden="1"/>
    </xf>
    <xf numFmtId="171" fontId="112" fillId="0" borderId="15" xfId="1" applyNumberFormat="1" applyFont="1" applyBorder="1" applyAlignment="1" applyProtection="1">
      <alignment horizontal="center" vertical="center"/>
      <protection hidden="1"/>
    </xf>
    <xf numFmtId="0" fontId="112" fillId="0" borderId="11" xfId="1" applyFont="1" applyBorder="1" applyAlignment="1" applyProtection="1">
      <alignment horizontal="center" vertical="center"/>
      <protection hidden="1"/>
    </xf>
    <xf numFmtId="0" fontId="85" fillId="0" borderId="109" xfId="1" applyFont="1" applyBorder="1" applyAlignment="1" applyProtection="1">
      <alignment horizontal="center" vertical="center"/>
      <protection hidden="1"/>
    </xf>
    <xf numFmtId="0" fontId="113" fillId="0" borderId="0" xfId="1" applyFont="1" applyAlignment="1" applyProtection="1">
      <alignment horizontal="left"/>
      <protection hidden="1"/>
    </xf>
    <xf numFmtId="0" fontId="85" fillId="0" borderId="0" xfId="1" applyFont="1" applyAlignment="1" applyProtection="1">
      <alignment horizontal="left"/>
      <protection hidden="1"/>
    </xf>
    <xf numFmtId="0" fontId="85" fillId="0" borderId="112" xfId="1" applyFont="1" applyBorder="1" applyAlignment="1" applyProtection="1">
      <alignment horizontal="left"/>
      <protection hidden="1"/>
    </xf>
    <xf numFmtId="0" fontId="44" fillId="0" borderId="25" xfId="1" applyFont="1" applyBorder="1" applyAlignment="1" applyProtection="1">
      <alignment horizontal="center" vertical="center"/>
      <protection hidden="1"/>
    </xf>
    <xf numFmtId="0" fontId="85" fillId="0" borderId="0" xfId="1" applyFont="1" applyAlignment="1" applyProtection="1">
      <alignment horizontal="center"/>
      <protection hidden="1"/>
    </xf>
    <xf numFmtId="0" fontId="112" fillId="0" borderId="109" xfId="1" applyFont="1" applyBorder="1" applyAlignment="1" applyProtection="1">
      <alignment horizontal="center" vertical="center"/>
      <protection hidden="1"/>
    </xf>
    <xf numFmtId="0" fontId="85" fillId="0" borderId="111" xfId="1" applyFont="1" applyBorder="1" applyAlignment="1" applyProtection="1">
      <alignment horizontal="left"/>
      <protection hidden="1"/>
    </xf>
    <xf numFmtId="0" fontId="26" fillId="0" borderId="0" xfId="10" applyProtection="1">
      <protection hidden="1"/>
    </xf>
    <xf numFmtId="0" fontId="113" fillId="0" borderId="83" xfId="1" applyFont="1" applyBorder="1" applyAlignment="1" applyProtection="1">
      <alignment horizontal="left"/>
      <protection hidden="1"/>
    </xf>
    <xf numFmtId="9" fontId="85" fillId="0" borderId="0" xfId="1" quotePrefix="1" applyNumberFormat="1" applyFont="1" applyAlignment="1" applyProtection="1">
      <alignment horizontal="left"/>
      <protection hidden="1"/>
    </xf>
    <xf numFmtId="0" fontId="97" fillId="0" borderId="0" xfId="10" applyFont="1" applyAlignment="1" applyProtection="1">
      <alignment vertical="center"/>
      <protection hidden="1"/>
    </xf>
    <xf numFmtId="0" fontId="84" fillId="0" borderId="9" xfId="1" applyFont="1" applyBorder="1" applyAlignment="1" applyProtection="1">
      <alignment horizontal="left"/>
      <protection hidden="1"/>
    </xf>
    <xf numFmtId="0" fontId="112" fillId="0" borderId="9" xfId="1" applyFont="1" applyBorder="1" applyAlignment="1" applyProtection="1">
      <alignment horizontal="center"/>
      <protection hidden="1"/>
    </xf>
    <xf numFmtId="0" fontId="112" fillId="0" borderId="115" xfId="1" applyFont="1" applyBorder="1" applyAlignment="1" applyProtection="1">
      <alignment horizontal="left"/>
      <protection hidden="1"/>
    </xf>
    <xf numFmtId="0" fontId="112" fillId="0" borderId="116" xfId="1" applyFont="1" applyBorder="1" applyAlignment="1" applyProtection="1">
      <alignment horizontal="center" vertical="center"/>
      <protection hidden="1"/>
    </xf>
    <xf numFmtId="164" fontId="32" fillId="0" borderId="0" xfId="0" applyNumberFormat="1" applyFont="1" applyAlignment="1">
      <alignment horizontal="center" vertical="center"/>
    </xf>
    <xf numFmtId="0" fontId="118" fillId="0" borderId="0" xfId="0" applyFont="1" applyAlignment="1" applyProtection="1">
      <alignment horizontal="left" vertical="center"/>
      <protection hidden="1"/>
    </xf>
    <xf numFmtId="0" fontId="85" fillId="0" borderId="0" xfId="1" applyFont="1" applyProtection="1">
      <protection hidden="1"/>
    </xf>
    <xf numFmtId="0" fontId="119" fillId="0" borderId="111" xfId="1" applyFont="1" applyBorder="1" applyProtection="1">
      <protection hidden="1"/>
    </xf>
    <xf numFmtId="0" fontId="100" fillId="18" borderId="108" xfId="1" applyFont="1" applyFill="1" applyBorder="1" applyAlignment="1" applyProtection="1">
      <alignment vertical="center" wrapText="1"/>
      <protection hidden="1"/>
    </xf>
    <xf numFmtId="0" fontId="100" fillId="18" borderId="107" xfId="1" applyFont="1" applyFill="1" applyBorder="1" applyAlignment="1" applyProtection="1">
      <alignment vertical="center" wrapText="1"/>
      <protection hidden="1"/>
    </xf>
    <xf numFmtId="0" fontId="71" fillId="18" borderId="63" xfId="3" applyFont="1" applyFill="1" applyBorder="1" applyAlignment="1" applyProtection="1">
      <alignment horizontal="center" vertical="center"/>
      <protection hidden="1"/>
    </xf>
    <xf numFmtId="0" fontId="29" fillId="18" borderId="60" xfId="3" applyFont="1" applyFill="1" applyBorder="1" applyAlignment="1" applyProtection="1">
      <alignment horizontal="center" vertical="center"/>
      <protection hidden="1"/>
    </xf>
    <xf numFmtId="164" fontId="117" fillId="0" borderId="16" xfId="1" applyNumberFormat="1" applyFont="1" applyBorder="1" applyAlignment="1" applyProtection="1">
      <alignment horizontal="center" vertical="center"/>
      <protection hidden="1"/>
    </xf>
    <xf numFmtId="0" fontId="110" fillId="0" borderId="16" xfId="1" applyFont="1" applyBorder="1" applyAlignment="1" applyProtection="1">
      <alignment horizontal="center" vertical="center"/>
      <protection hidden="1"/>
    </xf>
    <xf numFmtId="0" fontId="114" fillId="0" borderId="0" xfId="1" applyFont="1" applyProtection="1">
      <protection hidden="1"/>
    </xf>
    <xf numFmtId="0" fontId="114" fillId="0" borderId="14" xfId="1" applyFont="1" applyBorder="1" applyProtection="1">
      <protection hidden="1"/>
    </xf>
    <xf numFmtId="0" fontId="64" fillId="0" borderId="25" xfId="1" applyFont="1" applyBorder="1" applyAlignment="1" applyProtection="1">
      <alignment vertical="center"/>
      <protection hidden="1"/>
    </xf>
    <xf numFmtId="0" fontId="29" fillId="18" borderId="13" xfId="3" applyFont="1" applyFill="1" applyBorder="1" applyAlignment="1" applyProtection="1">
      <alignment horizontal="right" vertical="center" wrapText="1"/>
      <protection hidden="1"/>
    </xf>
    <xf numFmtId="1" fontId="32" fillId="18" borderId="12" xfId="3" applyNumberFormat="1" applyFont="1" applyFill="1" applyBorder="1" applyAlignment="1" applyProtection="1">
      <alignment horizontal="right" vertical="center"/>
      <protection hidden="1"/>
    </xf>
    <xf numFmtId="0" fontId="0" fillId="0" borderId="0" xfId="1" applyFont="1"/>
    <xf numFmtId="0" fontId="123" fillId="0" borderId="25" xfId="1" applyFont="1" applyBorder="1" applyAlignment="1" applyProtection="1">
      <alignment vertical="center" wrapText="1"/>
      <protection hidden="1"/>
    </xf>
    <xf numFmtId="0" fontId="123" fillId="0" borderId="26" xfId="1" applyFont="1" applyBorder="1" applyAlignment="1" applyProtection="1">
      <alignment vertical="center" wrapText="1"/>
      <protection hidden="1"/>
    </xf>
    <xf numFmtId="0" fontId="124" fillId="0" borderId="25" xfId="1" applyFont="1" applyBorder="1" applyAlignment="1" applyProtection="1">
      <alignment vertical="center"/>
      <protection hidden="1"/>
    </xf>
    <xf numFmtId="0" fontId="44" fillId="0" borderId="26" xfId="1" applyFont="1" applyBorder="1" applyAlignment="1" applyProtection="1">
      <alignment vertical="center"/>
      <protection hidden="1"/>
    </xf>
    <xf numFmtId="0" fontId="46" fillId="0" borderId="0" xfId="1" applyFont="1"/>
    <xf numFmtId="0" fontId="44" fillId="0" borderId="0" xfId="1" applyFont="1" applyAlignment="1" applyProtection="1">
      <alignment vertical="center"/>
      <protection hidden="1"/>
    </xf>
    <xf numFmtId="0" fontId="124" fillId="0" borderId="0" xfId="1" applyFont="1" applyAlignment="1" applyProtection="1">
      <alignment vertical="center"/>
      <protection hidden="1"/>
    </xf>
    <xf numFmtId="0" fontId="124" fillId="0" borderId="26" xfId="1" applyFont="1" applyBorder="1" applyAlignment="1" applyProtection="1">
      <alignment vertical="center"/>
      <protection hidden="1"/>
    </xf>
    <xf numFmtId="0" fontId="27" fillId="0" borderId="25" xfId="1" applyFont="1" applyBorder="1" applyAlignment="1" applyProtection="1">
      <alignment vertical="center"/>
      <protection hidden="1"/>
    </xf>
    <xf numFmtId="0" fontId="65" fillId="0" borderId="25" xfId="1" applyFont="1" applyBorder="1" applyAlignment="1" applyProtection="1">
      <alignment horizontal="center" vertical="center" wrapText="1"/>
      <protection hidden="1"/>
    </xf>
    <xf numFmtId="0" fontId="65" fillId="0" borderId="0" xfId="1" applyFont="1" applyAlignment="1" applyProtection="1">
      <alignment horizontal="center" vertical="center" wrapText="1"/>
      <protection hidden="1"/>
    </xf>
    <xf numFmtId="0" fontId="65" fillId="0" borderId="26" xfId="1" applyFont="1" applyBorder="1" applyAlignment="1" applyProtection="1">
      <alignment horizontal="center" vertical="center" wrapText="1"/>
      <protection hidden="1"/>
    </xf>
    <xf numFmtId="0" fontId="102" fillId="0" borderId="0" xfId="1" applyFont="1" applyAlignment="1" applyProtection="1">
      <alignment horizontal="center" vertical="center"/>
      <protection hidden="1"/>
    </xf>
    <xf numFmtId="0" fontId="124" fillId="0" borderId="17" xfId="1" applyFont="1" applyBorder="1" applyAlignment="1" applyProtection="1">
      <alignment vertical="center"/>
      <protection hidden="1"/>
    </xf>
    <xf numFmtId="0" fontId="124" fillId="0" borderId="18" xfId="1" applyFont="1" applyBorder="1" applyAlignment="1" applyProtection="1">
      <alignment vertical="center"/>
      <protection hidden="1"/>
    </xf>
    <xf numFmtId="0" fontId="124" fillId="0" borderId="19" xfId="1" applyFont="1" applyBorder="1" applyAlignment="1" applyProtection="1">
      <alignment vertical="center"/>
      <protection hidden="1"/>
    </xf>
    <xf numFmtId="0" fontId="12" fillId="0" borderId="1" xfId="0" applyFont="1" applyBorder="1" applyAlignment="1">
      <alignment horizontal="center" vertical="center"/>
    </xf>
    <xf numFmtId="0" fontId="14" fillId="0" borderId="120" xfId="0" applyFont="1" applyBorder="1"/>
    <xf numFmtId="0" fontId="14" fillId="0" borderId="120" xfId="0" applyFont="1" applyBorder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03" fillId="19" borderId="59" xfId="0" applyFont="1" applyFill="1" applyBorder="1" applyAlignment="1">
      <alignment horizontal="right"/>
    </xf>
    <xf numFmtId="0" fontId="44" fillId="19" borderId="121" xfId="0" applyFont="1" applyFill="1" applyBorder="1"/>
    <xf numFmtId="0" fontId="44" fillId="19" borderId="7" xfId="0" applyFont="1" applyFill="1" applyBorder="1"/>
    <xf numFmtId="0" fontId="44" fillId="19" borderId="124" xfId="0" applyFont="1" applyFill="1" applyBorder="1" applyAlignment="1">
      <alignment horizontal="center" vertical="top" wrapText="1"/>
    </xf>
    <xf numFmtId="0" fontId="103" fillId="19" borderId="109" xfId="0" applyFont="1" applyFill="1" applyBorder="1" applyAlignment="1">
      <alignment horizontal="center" vertical="center" wrapText="1"/>
    </xf>
    <xf numFmtId="0" fontId="103" fillId="19" borderId="32" xfId="0" applyFont="1" applyFill="1" applyBorder="1" applyAlignment="1">
      <alignment horizontal="right"/>
    </xf>
    <xf numFmtId="0" fontId="76" fillId="19" borderId="2" xfId="0" applyFont="1" applyFill="1" applyBorder="1"/>
    <xf numFmtId="0" fontId="44" fillId="19" borderId="53" xfId="0" applyFont="1" applyFill="1" applyBorder="1" applyAlignment="1">
      <alignment horizontal="center" vertical="top" wrapText="1"/>
    </xf>
    <xf numFmtId="0" fontId="44" fillId="19" borderId="2" xfId="0" applyFont="1" applyFill="1" applyBorder="1" applyAlignment="1">
      <alignment wrapText="1"/>
    </xf>
    <xf numFmtId="0" fontId="103" fillId="19" borderId="32" xfId="0" applyFont="1" applyFill="1" applyBorder="1" applyAlignment="1">
      <alignment horizontal="right" vertical="top"/>
    </xf>
    <xf numFmtId="166" fontId="44" fillId="19" borderId="4" xfId="11" applyNumberFormat="1" applyFont="1" applyFill="1" applyBorder="1" applyAlignment="1" applyProtection="1">
      <alignment wrapText="1"/>
    </xf>
    <xf numFmtId="0" fontId="44" fillId="19" borderId="3" xfId="0" applyFont="1" applyFill="1" applyBorder="1" applyAlignment="1">
      <alignment horizontal="left" wrapText="1"/>
    </xf>
    <xf numFmtId="0" fontId="44" fillId="19" borderId="53" xfId="0" applyFont="1" applyFill="1" applyBorder="1" applyAlignment="1">
      <alignment horizontal="right" vertical="top" wrapText="1"/>
    </xf>
    <xf numFmtId="0" fontId="44" fillId="19" borderId="2" xfId="0" applyFont="1" applyFill="1" applyBorder="1" applyAlignment="1">
      <alignment horizontal="left" wrapText="1"/>
    </xf>
    <xf numFmtId="166" fontId="44" fillId="19" borderId="2" xfId="11" applyNumberFormat="1" applyFont="1" applyFill="1" applyBorder="1" applyAlignment="1" applyProtection="1">
      <alignment horizontal="left" wrapText="1"/>
    </xf>
    <xf numFmtId="0" fontId="102" fillId="19" borderId="32" xfId="0" applyFont="1" applyFill="1" applyBorder="1" applyAlignment="1">
      <alignment horizontal="right" vertical="top"/>
    </xf>
    <xf numFmtId="0" fontId="102" fillId="19" borderId="93" xfId="0" applyFont="1" applyFill="1" applyBorder="1" applyAlignment="1">
      <alignment horizontal="right" vertical="top"/>
    </xf>
    <xf numFmtId="0" fontId="103" fillId="19" borderId="11" xfId="0" applyFont="1" applyFill="1" applyBorder="1" applyAlignment="1">
      <alignment horizontal="center" vertical="center" wrapText="1"/>
    </xf>
    <xf numFmtId="173" fontId="102" fillId="19" borderId="5" xfId="11" applyNumberFormat="1" applyFont="1" applyFill="1" applyBorder="1" applyAlignment="1" applyProtection="1">
      <alignment horizontal="right" vertical="top" wrapText="1"/>
    </xf>
    <xf numFmtId="0" fontId="102" fillId="19" borderId="126" xfId="0" applyFont="1" applyFill="1" applyBorder="1" applyAlignment="1">
      <alignment horizontal="right" vertical="top" wrapText="1"/>
    </xf>
    <xf numFmtId="182" fontId="102" fillId="19" borderId="127" xfId="11" applyNumberFormat="1" applyFont="1" applyFill="1" applyBorder="1" applyAlignment="1" applyProtection="1">
      <alignment horizontal="right" vertical="top" wrapText="1"/>
    </xf>
    <xf numFmtId="0" fontId="103" fillId="19" borderId="13" xfId="0" applyFont="1" applyFill="1" applyBorder="1" applyAlignment="1">
      <alignment horizontal="center" vertical="center" wrapText="1"/>
    </xf>
    <xf numFmtId="167" fontId="102" fillId="0" borderId="52" xfId="0" applyNumberFormat="1" applyFont="1" applyBorder="1" applyAlignment="1" applyProtection="1">
      <alignment horizontal="left" vertical="top"/>
      <protection hidden="1"/>
    </xf>
    <xf numFmtId="167" fontId="102" fillId="0" borderId="3" xfId="0" applyNumberFormat="1" applyFont="1" applyBorder="1" applyAlignment="1" applyProtection="1">
      <alignment horizontal="left" vertical="top"/>
      <protection hidden="1"/>
    </xf>
    <xf numFmtId="167" fontId="44" fillId="19" borderId="2" xfId="0" applyNumberFormat="1" applyFont="1" applyFill="1" applyBorder="1" applyAlignment="1">
      <alignment horizontal="left" vertical="top"/>
    </xf>
    <xf numFmtId="167" fontId="44" fillId="19" borderId="4" xfId="0" applyNumberFormat="1" applyFont="1" applyFill="1" applyBorder="1" applyAlignment="1">
      <alignment horizontal="left" vertical="top"/>
    </xf>
    <xf numFmtId="167" fontId="44" fillId="19" borderId="53" xfId="0" applyNumberFormat="1" applyFont="1" applyFill="1" applyBorder="1" applyAlignment="1">
      <alignment horizontal="left" vertical="top"/>
    </xf>
    <xf numFmtId="0" fontId="102" fillId="19" borderId="32" xfId="0" applyFont="1" applyFill="1" applyBorder="1" applyAlignment="1">
      <alignment horizontal="right" vertical="top" wrapText="1"/>
    </xf>
    <xf numFmtId="0" fontId="102" fillId="19" borderId="99" xfId="0" applyFont="1" applyFill="1" applyBorder="1" applyAlignment="1">
      <alignment horizontal="right" vertical="top" wrapText="1"/>
    </xf>
    <xf numFmtId="0" fontId="103" fillId="19" borderId="90" xfId="0" applyFont="1" applyFill="1" applyBorder="1" applyAlignment="1">
      <alignment horizontal="center" vertical="center" wrapText="1"/>
    </xf>
    <xf numFmtId="0" fontId="131" fillId="19" borderId="20" xfId="0" quotePrefix="1" applyFont="1" applyFill="1" applyBorder="1" applyAlignment="1">
      <alignment horizontal="center" vertical="center" wrapText="1"/>
    </xf>
    <xf numFmtId="0" fontId="131" fillId="19" borderId="12" xfId="0" quotePrefix="1" applyFont="1" applyFill="1" applyBorder="1" applyAlignment="1">
      <alignment horizontal="center" vertical="center" wrapText="1"/>
    </xf>
    <xf numFmtId="0" fontId="131" fillId="19" borderId="13" xfId="0" quotePrefix="1" applyFont="1" applyFill="1" applyBorder="1" applyAlignment="1">
      <alignment horizontal="center" vertical="center" wrapText="1"/>
    </xf>
    <xf numFmtId="0" fontId="102" fillId="18" borderId="13" xfId="0" applyFont="1" applyFill="1" applyBorder="1" applyAlignment="1">
      <alignment horizontal="center" vertical="center"/>
    </xf>
    <xf numFmtId="0" fontId="102" fillId="18" borderId="12" xfId="0" applyFont="1" applyFill="1" applyBorder="1" applyAlignment="1">
      <alignment horizontal="center" vertical="center" wrapText="1"/>
    </xf>
    <xf numFmtId="0" fontId="102" fillId="18" borderId="20" xfId="0" applyFont="1" applyFill="1" applyBorder="1" applyAlignment="1">
      <alignment horizontal="center" vertical="center" wrapText="1"/>
    </xf>
    <xf numFmtId="0" fontId="119" fillId="2" borderId="43" xfId="0" applyFont="1" applyFill="1" applyBorder="1" applyAlignment="1" applyProtection="1">
      <alignment horizontal="left" vertical="center"/>
      <protection hidden="1"/>
    </xf>
    <xf numFmtId="166" fontId="44" fillId="19" borderId="4" xfId="11" applyNumberFormat="1" applyFont="1" applyFill="1" applyBorder="1" applyAlignment="1" applyProtection="1">
      <alignment horizontal="left"/>
    </xf>
    <xf numFmtId="170" fontId="16" fillId="0" borderId="0" xfId="0" applyNumberFormat="1" applyFont="1" applyProtection="1"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13" fillId="0" borderId="0" xfId="1" applyFont="1" applyProtection="1">
      <protection hidden="1"/>
    </xf>
    <xf numFmtId="0" fontId="39" fillId="0" borderId="0" xfId="0" applyFont="1" applyAlignment="1">
      <alignment vertical="center" wrapText="1"/>
    </xf>
    <xf numFmtId="175" fontId="12" fillId="0" borderId="4" xfId="1" applyNumberFormat="1" applyFont="1" applyBorder="1" applyAlignment="1" applyProtection="1">
      <alignment horizontal="right" vertical="center"/>
      <protection hidden="1"/>
    </xf>
    <xf numFmtId="175" fontId="77" fillId="0" borderId="16" xfId="1" applyNumberFormat="1" applyFont="1" applyBorder="1" applyAlignment="1" applyProtection="1">
      <alignment horizontal="right" vertical="center"/>
      <protection hidden="1"/>
    </xf>
    <xf numFmtId="175" fontId="77" fillId="0" borderId="84" xfId="1" applyNumberFormat="1" applyFont="1" applyBorder="1" applyAlignment="1" applyProtection="1">
      <alignment horizontal="right" vertical="center"/>
      <protection hidden="1"/>
    </xf>
    <xf numFmtId="175" fontId="77" fillId="0" borderId="82" xfId="1" applyNumberFormat="1" applyFont="1" applyBorder="1" applyAlignment="1" applyProtection="1">
      <alignment horizontal="right" vertical="center"/>
      <protection hidden="1"/>
    </xf>
    <xf numFmtId="175" fontId="102" fillId="19" borderId="5" xfId="11" applyNumberFormat="1" applyFont="1" applyFill="1" applyBorder="1" applyAlignment="1" applyProtection="1">
      <alignment horizontal="right" vertical="center" wrapText="1"/>
    </xf>
    <xf numFmtId="175" fontId="102" fillId="19" borderId="94" xfId="11" applyNumberFormat="1" applyFont="1" applyFill="1" applyBorder="1" applyAlignment="1" applyProtection="1">
      <alignment horizontal="right" vertical="center" wrapText="1"/>
    </xf>
    <xf numFmtId="175" fontId="102" fillId="19" borderId="5" xfId="0" applyNumberFormat="1" applyFont="1" applyFill="1" applyBorder="1" applyAlignment="1">
      <alignment horizontal="right" vertical="center" wrapText="1"/>
    </xf>
    <xf numFmtId="175" fontId="102" fillId="19" borderId="6" xfId="11" applyNumberFormat="1" applyFont="1" applyFill="1" applyBorder="1" applyAlignment="1" applyProtection="1">
      <alignment horizontal="right" vertical="center" wrapText="1"/>
    </xf>
    <xf numFmtId="0" fontId="13" fillId="0" borderId="4" xfId="1" applyFont="1" applyBorder="1" applyAlignment="1" applyProtection="1">
      <alignment vertical="center"/>
      <protection hidden="1"/>
    </xf>
    <xf numFmtId="0" fontId="73" fillId="2" borderId="5" xfId="0" applyFont="1" applyFill="1" applyBorder="1" applyAlignment="1" applyProtection="1">
      <alignment horizontal="left" vertical="center"/>
      <protection hidden="1"/>
    </xf>
    <xf numFmtId="172" fontId="12" fillId="0" borderId="46" xfId="0" applyNumberFormat="1" applyFont="1" applyBorder="1" applyAlignment="1" applyProtection="1">
      <alignment horizontal="center" vertical="center"/>
      <protection locked="0"/>
    </xf>
    <xf numFmtId="0" fontId="139" fillId="3" borderId="133" xfId="0" applyFont="1" applyFill="1" applyBorder="1" applyAlignment="1" applyProtection="1">
      <alignment vertical="center"/>
      <protection hidden="1"/>
    </xf>
    <xf numFmtId="0" fontId="140" fillId="3" borderId="150" xfId="0" applyFont="1" applyFill="1" applyBorder="1" applyAlignment="1" applyProtection="1">
      <alignment vertical="center"/>
      <protection hidden="1"/>
    </xf>
    <xf numFmtId="0" fontId="140" fillId="3" borderId="137" xfId="0" applyFont="1" applyFill="1" applyBorder="1" applyAlignment="1" applyProtection="1">
      <alignment horizontal="left" vertical="center"/>
      <protection hidden="1"/>
    </xf>
    <xf numFmtId="0" fontId="139" fillId="3" borderId="13" xfId="0" applyFont="1" applyFill="1" applyBorder="1" applyAlignment="1" applyProtection="1">
      <alignment vertical="center"/>
      <protection hidden="1"/>
    </xf>
    <xf numFmtId="0" fontId="140" fillId="3" borderId="91" xfId="0" applyFont="1" applyFill="1" applyBorder="1" applyAlignment="1" applyProtection="1">
      <alignment vertical="center"/>
      <protection hidden="1"/>
    </xf>
    <xf numFmtId="0" fontId="140" fillId="3" borderId="77" xfId="0" applyFont="1" applyFill="1" applyBorder="1" applyAlignment="1" applyProtection="1">
      <alignment horizontal="left" vertical="center"/>
      <protection hidden="1"/>
    </xf>
    <xf numFmtId="0" fontId="139" fillId="3" borderId="134" xfId="0" applyFont="1" applyFill="1" applyBorder="1" applyAlignment="1" applyProtection="1">
      <alignment vertical="center"/>
      <protection hidden="1"/>
    </xf>
    <xf numFmtId="0" fontId="140" fillId="3" borderId="151" xfId="0" applyFont="1" applyFill="1" applyBorder="1" applyAlignment="1" applyProtection="1">
      <alignment vertical="center"/>
      <protection hidden="1"/>
    </xf>
    <xf numFmtId="0" fontId="140" fillId="3" borderId="73" xfId="0" applyFont="1" applyFill="1" applyBorder="1" applyAlignment="1" applyProtection="1">
      <alignment horizontal="left" vertical="center"/>
      <protection hidden="1"/>
    </xf>
    <xf numFmtId="0" fontId="12" fillId="21" borderId="43" xfId="0" applyFont="1" applyFill="1" applyBorder="1" applyAlignment="1" applyProtection="1">
      <alignment horizontal="left" vertical="center"/>
      <protection hidden="1"/>
    </xf>
    <xf numFmtId="0" fontId="73" fillId="21" borderId="43" xfId="0" applyFont="1" applyFill="1" applyBorder="1" applyAlignment="1" applyProtection="1">
      <alignment horizontal="left" vertical="center"/>
      <protection hidden="1"/>
    </xf>
    <xf numFmtId="0" fontId="12" fillId="3" borderId="51" xfId="0" applyFont="1" applyFill="1" applyBorder="1" applyAlignment="1" applyProtection="1">
      <alignment horizontal="left" vertical="center"/>
      <protection hidden="1"/>
    </xf>
    <xf numFmtId="0" fontId="12" fillId="3" borderId="43" xfId="0" applyFont="1" applyFill="1" applyBorder="1" applyAlignment="1" applyProtection="1">
      <alignment horizontal="left" vertical="center"/>
      <protection hidden="1"/>
    </xf>
    <xf numFmtId="0" fontId="21" fillId="3" borderId="43" xfId="0" applyFont="1" applyFill="1" applyBorder="1" applyAlignment="1" applyProtection="1">
      <alignment horizontal="left" vertical="center"/>
      <protection hidden="1"/>
    </xf>
    <xf numFmtId="0" fontId="12" fillId="3" borderId="5" xfId="0" applyFont="1" applyFill="1" applyBorder="1" applyAlignment="1" applyProtection="1">
      <alignment horizontal="left" vertical="center"/>
      <protection hidden="1"/>
    </xf>
    <xf numFmtId="0" fontId="12" fillId="3" borderId="5" xfId="0" applyFont="1" applyFill="1" applyBorder="1" applyAlignment="1" applyProtection="1">
      <alignment vertical="center"/>
      <protection hidden="1"/>
    </xf>
    <xf numFmtId="0" fontId="141" fillId="0" borderId="5" xfId="0" applyFont="1" applyBorder="1" applyAlignment="1" applyProtection="1">
      <alignment horizontal="center" vertical="center"/>
      <protection hidden="1"/>
    </xf>
    <xf numFmtId="0" fontId="21" fillId="3" borderId="45" xfId="0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center" vertical="center"/>
    </xf>
    <xf numFmtId="164" fontId="23" fillId="0" borderId="12" xfId="0" applyNumberFormat="1" applyFont="1" applyBorder="1" applyAlignment="1" applyProtection="1">
      <alignment horizontal="right" vertical="center"/>
      <protection hidden="1"/>
    </xf>
    <xf numFmtId="174" fontId="144" fillId="0" borderId="12" xfId="2" applyNumberFormat="1" applyFont="1" applyBorder="1" applyAlignment="1" applyProtection="1">
      <alignment horizontal="center" vertical="center"/>
      <protection hidden="1"/>
    </xf>
    <xf numFmtId="164" fontId="23" fillId="0" borderId="157" xfId="0" applyNumberFormat="1" applyFont="1" applyBorder="1" applyAlignment="1">
      <alignment vertical="center"/>
    </xf>
    <xf numFmtId="0" fontId="23" fillId="0" borderId="0" xfId="0" applyFont="1"/>
    <xf numFmtId="0" fontId="23" fillId="0" borderId="12" xfId="0" applyFont="1" applyBorder="1" applyAlignment="1">
      <alignment vertical="center"/>
    </xf>
    <xf numFmtId="164" fontId="23" fillId="0" borderId="158" xfId="0" applyNumberFormat="1" applyFont="1" applyBorder="1" applyAlignment="1" applyProtection="1">
      <alignment vertical="center"/>
      <protection hidden="1"/>
    </xf>
    <xf numFmtId="164" fontId="23" fillId="0" borderId="160" xfId="0" applyNumberFormat="1" applyFont="1" applyBorder="1" applyAlignment="1" applyProtection="1">
      <alignment vertical="center"/>
      <protection hidden="1"/>
    </xf>
    <xf numFmtId="164" fontId="23" fillId="2" borderId="12" xfId="0" applyNumberFormat="1" applyFont="1" applyFill="1" applyBorder="1" applyAlignment="1">
      <alignment vertical="center"/>
    </xf>
    <xf numFmtId="164" fontId="143" fillId="4" borderId="157" xfId="0" applyNumberFormat="1" applyFont="1" applyFill="1" applyBorder="1" applyAlignment="1">
      <alignment horizontal="center" vertical="center"/>
    </xf>
    <xf numFmtId="0" fontId="143" fillId="4" borderId="1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5" fillId="0" borderId="12" xfId="0" applyFont="1" applyBorder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32" fillId="0" borderId="31" xfId="1" applyFont="1" applyBorder="1" applyAlignment="1" applyProtection="1">
      <alignment horizontal="left" vertical="center"/>
      <protection hidden="1"/>
    </xf>
    <xf numFmtId="0" fontId="32" fillId="0" borderId="4" xfId="1" applyFont="1" applyBorder="1" applyAlignment="1" applyProtection="1">
      <alignment horizontal="left" vertical="center"/>
      <protection hidden="1"/>
    </xf>
    <xf numFmtId="0" fontId="148" fillId="0" borderId="111" xfId="1" applyFont="1" applyBorder="1" applyAlignment="1" applyProtection="1">
      <alignment horizontal="left"/>
      <protection hidden="1"/>
    </xf>
    <xf numFmtId="9" fontId="32" fillId="0" borderId="3" xfId="1" applyNumberFormat="1" applyFont="1" applyBorder="1" applyProtection="1">
      <protection hidden="1"/>
    </xf>
    <xf numFmtId="164" fontId="17" fillId="0" borderId="12" xfId="0" applyNumberFormat="1" applyFont="1" applyBorder="1" applyAlignment="1" applyProtection="1">
      <alignment horizontal="left" vertical="center"/>
      <protection hidden="1"/>
    </xf>
    <xf numFmtId="0" fontId="17" fillId="0" borderId="0" xfId="0" applyFont="1" applyAlignment="1">
      <alignment horizontal="left"/>
    </xf>
    <xf numFmtId="0" fontId="0" fillId="0" borderId="0" xfId="1" applyFont="1" applyAlignment="1" applyProtection="1">
      <alignment horizontal="left" vertical="center"/>
      <protection hidden="1"/>
    </xf>
    <xf numFmtId="169" fontId="0" fillId="0" borderId="0" xfId="2" applyNumberFormat="1" applyFont="1" applyFill="1" applyBorder="1" applyAlignment="1" applyProtection="1">
      <alignment vertical="center"/>
      <protection hidden="1"/>
    </xf>
    <xf numFmtId="0" fontId="13" fillId="0" borderId="155" xfId="0" applyFont="1" applyBorder="1" applyAlignment="1">
      <alignment horizontal="center" vertical="center"/>
    </xf>
    <xf numFmtId="0" fontId="13" fillId="6" borderId="155" xfId="0" applyFont="1" applyFill="1" applyBorder="1" applyAlignment="1">
      <alignment horizontal="center" vertical="center"/>
    </xf>
    <xf numFmtId="164" fontId="23" fillId="0" borderId="12" xfId="0" applyNumberFormat="1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155" xfId="0" applyNumberFormat="1" applyBorder="1" applyAlignment="1">
      <alignment vertical="center"/>
    </xf>
    <xf numFmtId="164" fontId="0" fillId="6" borderId="155" xfId="0" applyNumberFormat="1" applyFill="1" applyBorder="1" applyAlignment="1">
      <alignment vertical="center"/>
    </xf>
    <xf numFmtId="164" fontId="24" fillId="0" borderId="155" xfId="0" applyNumberFormat="1" applyFont="1" applyBorder="1" applyAlignment="1">
      <alignment vertical="center"/>
    </xf>
    <xf numFmtId="164" fontId="0" fillId="0" borderId="61" xfId="0" applyNumberForma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23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0" fillId="0" borderId="12" xfId="0" applyFont="1" applyBorder="1" applyAlignment="1">
      <alignment horizontal="center" vertical="center"/>
    </xf>
    <xf numFmtId="0" fontId="149" fillId="0" borderId="12" xfId="0" applyFont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164" fontId="149" fillId="23" borderId="61" xfId="0" applyNumberFormat="1" applyFont="1" applyFill="1" applyBorder="1" applyAlignment="1" applyProtection="1">
      <alignment horizontal="center" vertical="center"/>
      <protection hidden="1"/>
    </xf>
    <xf numFmtId="0" fontId="149" fillId="5" borderId="61" xfId="0" applyFont="1" applyFill="1" applyBorder="1" applyAlignment="1" applyProtection="1">
      <alignment horizontal="center" vertical="center"/>
      <protection hidden="1"/>
    </xf>
    <xf numFmtId="0" fontId="65" fillId="24" borderId="159" xfId="0" applyFont="1" applyFill="1" applyBorder="1" applyAlignment="1">
      <alignment horizontal="center" vertical="center"/>
    </xf>
    <xf numFmtId="0" fontId="151" fillId="0" borderId="31" xfId="1" applyFont="1" applyBorder="1" applyAlignment="1" applyProtection="1">
      <alignment horizontal="center"/>
      <protection hidden="1"/>
    </xf>
    <xf numFmtId="0" fontId="21" fillId="0" borderId="15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9" fontId="20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6" fillId="0" borderId="12" xfId="4" applyNumberFormat="1" applyFont="1" applyBorder="1" applyProtection="1">
      <protection hidden="1"/>
    </xf>
    <xf numFmtId="10" fontId="32" fillId="0" borderId="20" xfId="4" applyNumberFormat="1" applyFont="1" applyBorder="1" applyProtection="1">
      <protection hidden="1"/>
    </xf>
    <xf numFmtId="1" fontId="21" fillId="0" borderId="12" xfId="3" applyNumberFormat="1" applyFont="1" applyBorder="1" applyAlignment="1" applyProtection="1">
      <alignment horizontal="right" vertical="center"/>
      <protection hidden="1"/>
    </xf>
    <xf numFmtId="1" fontId="32" fillId="0" borderId="12" xfId="3" applyNumberFormat="1" applyFont="1" applyBorder="1" applyAlignment="1" applyProtection="1">
      <alignment horizontal="right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133" fillId="0" borderId="13" xfId="0" applyFont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53" fillId="5" borderId="2" xfId="0" applyFont="1" applyFill="1" applyBorder="1" applyAlignment="1" applyProtection="1">
      <alignment horizontal="left" vertical="center"/>
      <protection hidden="1"/>
    </xf>
    <xf numFmtId="0" fontId="9" fillId="0" borderId="165" xfId="6" applyBorder="1" applyProtection="1">
      <protection hidden="1"/>
    </xf>
    <xf numFmtId="0" fontId="16" fillId="0" borderId="165" xfId="0" applyFont="1" applyBorder="1" applyAlignment="1" applyProtection="1">
      <alignment horizontal="left" vertical="center"/>
      <protection hidden="1"/>
    </xf>
    <xf numFmtId="0" fontId="23" fillId="0" borderId="165" xfId="0" applyFont="1" applyBorder="1"/>
    <xf numFmtId="0" fontId="17" fillId="0" borderId="165" xfId="0" applyFont="1" applyBorder="1" applyAlignment="1">
      <alignment horizontal="left"/>
    </xf>
    <xf numFmtId="0" fontId="9" fillId="4" borderId="0" xfId="6" applyFill="1" applyProtection="1">
      <protection hidden="1"/>
    </xf>
    <xf numFmtId="0" fontId="16" fillId="4" borderId="0" xfId="0" applyFont="1" applyFill="1" applyAlignment="1" applyProtection="1">
      <alignment horizontal="left" vertical="center"/>
      <protection hidden="1"/>
    </xf>
    <xf numFmtId="0" fontId="23" fillId="4" borderId="0" xfId="0" applyFont="1" applyFill="1"/>
    <xf numFmtId="0" fontId="17" fillId="4" borderId="0" xfId="0" applyFont="1" applyFill="1" applyAlignment="1">
      <alignment horizontal="left"/>
    </xf>
    <xf numFmtId="0" fontId="0" fillId="4" borderId="0" xfId="1" applyFont="1" applyFill="1" applyAlignment="1" applyProtection="1">
      <alignment horizontal="left" vertical="center"/>
      <protection hidden="1"/>
    </xf>
    <xf numFmtId="169" fontId="0" fillId="4" borderId="0" xfId="2" applyNumberFormat="1" applyFont="1" applyFill="1" applyBorder="1" applyAlignment="1" applyProtection="1">
      <alignment vertical="center"/>
      <protection hidden="1"/>
    </xf>
    <xf numFmtId="0" fontId="21" fillId="0" borderId="31" xfId="1" applyFont="1" applyBorder="1" applyAlignment="1" applyProtection="1">
      <alignment vertical="center"/>
      <protection hidden="1"/>
    </xf>
    <xf numFmtId="175" fontId="42" fillId="10" borderId="5" xfId="5" applyNumberFormat="1" applyFont="1" applyFill="1" applyBorder="1" applyAlignment="1" applyProtection="1">
      <alignment horizontal="right" vertical="center"/>
      <protection hidden="1"/>
    </xf>
    <xf numFmtId="0" fontId="32" fillId="10" borderId="29" xfId="1" applyFont="1" applyFill="1" applyBorder="1" applyAlignment="1" applyProtection="1">
      <alignment horizontal="left" vertical="center"/>
      <protection hidden="1"/>
    </xf>
    <xf numFmtId="0" fontId="32" fillId="0" borderId="3" xfId="1" applyFont="1" applyBorder="1" applyAlignment="1" applyProtection="1">
      <alignment horizontal="center" vertical="center"/>
      <protection hidden="1"/>
    </xf>
    <xf numFmtId="0" fontId="44" fillId="19" borderId="4" xfId="0" applyFont="1" applyFill="1" applyBorder="1" applyAlignment="1">
      <alignment horizontal="left"/>
    </xf>
    <xf numFmtId="0" fontId="44" fillId="19" borderId="4" xfId="0" applyFont="1" applyFill="1" applyBorder="1"/>
    <xf numFmtId="0" fontId="32" fillId="10" borderId="3" xfId="1" applyFont="1" applyFill="1" applyBorder="1" applyAlignment="1" applyProtection="1">
      <alignment horizontal="left" vertical="center"/>
      <protection hidden="1"/>
    </xf>
    <xf numFmtId="0" fontId="21" fillId="0" borderId="3" xfId="1" applyFont="1" applyBorder="1" applyAlignment="1" applyProtection="1">
      <alignment horizontal="left" vertical="center"/>
      <protection hidden="1"/>
    </xf>
    <xf numFmtId="0" fontId="13" fillId="0" borderId="29" xfId="1" applyFont="1" applyBorder="1" applyAlignment="1" applyProtection="1">
      <alignment horizontal="left" vertical="center"/>
      <protection hidden="1"/>
    </xf>
    <xf numFmtId="0" fontId="32" fillId="0" borderId="4" xfId="1" applyFont="1" applyBorder="1" applyAlignment="1" applyProtection="1">
      <alignment horizontal="center" vertical="center"/>
      <protection hidden="1"/>
    </xf>
    <xf numFmtId="0" fontId="13" fillId="0" borderId="4" xfId="1" applyFont="1" applyBorder="1" applyAlignment="1" applyProtection="1">
      <alignment horizontal="left" vertical="center"/>
      <protection hidden="1"/>
    </xf>
    <xf numFmtId="0" fontId="34" fillId="0" borderId="3" xfId="1" applyFont="1" applyBorder="1" applyAlignment="1" applyProtection="1">
      <alignment horizontal="left" vertical="center"/>
      <protection hidden="1"/>
    </xf>
    <xf numFmtId="0" fontId="21" fillId="0" borderId="29" xfId="1" applyFont="1" applyBorder="1" applyAlignment="1" applyProtection="1">
      <alignment horizontal="left" vertical="center"/>
      <protection hidden="1"/>
    </xf>
    <xf numFmtId="0" fontId="21" fillId="0" borderId="4" xfId="1" applyFont="1" applyBorder="1" applyAlignment="1" applyProtection="1">
      <alignment horizontal="center" vertical="center"/>
      <protection hidden="1"/>
    </xf>
    <xf numFmtId="0" fontId="21" fillId="10" borderId="3" xfId="1" applyFont="1" applyFill="1" applyBorder="1" applyAlignment="1" applyProtection="1">
      <alignment horizontal="left" vertical="center"/>
      <protection hidden="1"/>
    </xf>
    <xf numFmtId="0" fontId="32" fillId="0" borderId="33" xfId="1" applyFont="1" applyBorder="1" applyAlignment="1" applyProtection="1">
      <alignment horizontal="center" vertical="center"/>
      <protection hidden="1"/>
    </xf>
    <xf numFmtId="1" fontId="30" fillId="0" borderId="18" xfId="1" applyNumberFormat="1" applyFont="1" applyBorder="1" applyAlignment="1" applyProtection="1">
      <alignment horizontal="center"/>
      <protection hidden="1"/>
    </xf>
    <xf numFmtId="0" fontId="13" fillId="0" borderId="3" xfId="1" applyFont="1" applyBorder="1" applyAlignment="1" applyProtection="1">
      <alignment horizontal="center" vertical="center"/>
      <protection hidden="1"/>
    </xf>
    <xf numFmtId="0" fontId="12" fillId="0" borderId="3" xfId="1" applyFont="1" applyBorder="1" applyAlignment="1" applyProtection="1">
      <alignment horizontal="left" vertical="center"/>
      <protection hidden="1"/>
    </xf>
    <xf numFmtId="0" fontId="13" fillId="16" borderId="16" xfId="1" applyFont="1" applyFill="1" applyBorder="1" applyAlignment="1" applyProtection="1">
      <alignment horizontal="left" vertical="center"/>
      <protection hidden="1"/>
    </xf>
    <xf numFmtId="0" fontId="13" fillId="16" borderId="14" xfId="1" applyFont="1" applyFill="1" applyBorder="1" applyAlignment="1" applyProtection="1">
      <alignment horizontal="left" vertical="center"/>
      <protection hidden="1"/>
    </xf>
    <xf numFmtId="0" fontId="13" fillId="16" borderId="0" xfId="1" applyFont="1" applyFill="1" applyAlignment="1" applyProtection="1">
      <alignment horizontal="left" vertical="center"/>
      <protection hidden="1"/>
    </xf>
    <xf numFmtId="0" fontId="13" fillId="16" borderId="26" xfId="1" applyFont="1" applyFill="1" applyBorder="1" applyAlignment="1" applyProtection="1">
      <alignment horizontal="left" vertical="center"/>
      <protection hidden="1"/>
    </xf>
    <xf numFmtId="0" fontId="13" fillId="16" borderId="21" xfId="1" applyFont="1" applyFill="1" applyBorder="1" applyAlignment="1" applyProtection="1">
      <alignment horizontal="left" vertical="center"/>
      <protection hidden="1"/>
    </xf>
    <xf numFmtId="0" fontId="13" fillId="16" borderId="22" xfId="1" applyFont="1" applyFill="1" applyBorder="1" applyAlignment="1" applyProtection="1">
      <alignment horizontal="left" vertical="center"/>
      <protection hidden="1"/>
    </xf>
    <xf numFmtId="0" fontId="12" fillId="0" borderId="29" xfId="1" applyFont="1" applyBorder="1" applyAlignment="1" applyProtection="1">
      <alignment horizontal="left" vertical="center"/>
      <protection hidden="1"/>
    </xf>
    <xf numFmtId="0" fontId="12" fillId="0" borderId="33" xfId="1" applyFont="1" applyBorder="1" applyAlignment="1" applyProtection="1">
      <alignment horizontal="left" vertical="center"/>
      <protection hidden="1"/>
    </xf>
    <xf numFmtId="0" fontId="21" fillId="0" borderId="29" xfId="1" applyFont="1" applyBorder="1" applyAlignment="1" applyProtection="1">
      <alignment horizontal="center" vertical="center"/>
      <protection hidden="1"/>
    </xf>
    <xf numFmtId="0" fontId="32" fillId="0" borderId="3" xfId="1" applyFont="1" applyBorder="1" applyAlignment="1" applyProtection="1">
      <alignment horizontal="right" vertical="center"/>
      <protection hidden="1"/>
    </xf>
    <xf numFmtId="0" fontId="30" fillId="0" borderId="3" xfId="1" applyFont="1" applyBorder="1" applyAlignment="1" applyProtection="1">
      <alignment vertical="center"/>
      <protection hidden="1"/>
    </xf>
    <xf numFmtId="0" fontId="21" fillId="0" borderId="3" xfId="1" applyFont="1" applyBorder="1" applyAlignment="1" applyProtection="1">
      <alignment vertical="center"/>
      <protection hidden="1"/>
    </xf>
    <xf numFmtId="0" fontId="12" fillId="0" borderId="3" xfId="1" applyFont="1" applyBorder="1" applyAlignment="1" applyProtection="1">
      <alignment vertical="center"/>
      <protection hidden="1"/>
    </xf>
    <xf numFmtId="0" fontId="12" fillId="0" borderId="28" xfId="1" applyFont="1" applyBorder="1" applyAlignment="1" applyProtection="1">
      <alignment vertical="center"/>
      <protection hidden="1"/>
    </xf>
    <xf numFmtId="0" fontId="12" fillId="0" borderId="29" xfId="1" applyFont="1" applyBorder="1" applyAlignment="1" applyProtection="1">
      <alignment vertical="center"/>
      <protection hidden="1"/>
    </xf>
    <xf numFmtId="0" fontId="12" fillId="0" borderId="31" xfId="1" applyFont="1" applyBorder="1" applyAlignment="1" applyProtection="1">
      <alignment vertical="center"/>
      <protection hidden="1"/>
    </xf>
    <xf numFmtId="0" fontId="34" fillId="0" borderId="31" xfId="1" applyFont="1" applyBorder="1" applyAlignment="1" applyProtection="1">
      <alignment vertical="center"/>
      <protection hidden="1"/>
    </xf>
    <xf numFmtId="0" fontId="34" fillId="0" borderId="3" xfId="1" applyFont="1" applyBorder="1" applyAlignment="1" applyProtection="1">
      <alignment vertical="center"/>
      <protection hidden="1"/>
    </xf>
    <xf numFmtId="0" fontId="13" fillId="0" borderId="29" xfId="1" applyFont="1" applyBorder="1" applyAlignment="1" applyProtection="1">
      <alignment vertical="center"/>
      <protection hidden="1"/>
    </xf>
    <xf numFmtId="0" fontId="29" fillId="0" borderId="3" xfId="1" applyFont="1" applyBorder="1" applyAlignment="1" applyProtection="1">
      <alignment vertical="center"/>
      <protection hidden="1"/>
    </xf>
    <xf numFmtId="0" fontId="21" fillId="0" borderId="29" xfId="1" applyFont="1" applyBorder="1" applyAlignment="1" applyProtection="1">
      <alignment vertical="center"/>
      <protection hidden="1"/>
    </xf>
    <xf numFmtId="0" fontId="32" fillId="10" borderId="3" xfId="1" applyFont="1" applyFill="1" applyBorder="1" applyAlignment="1" applyProtection="1">
      <alignment vertical="center"/>
      <protection hidden="1"/>
    </xf>
    <xf numFmtId="0" fontId="32" fillId="0" borderId="121" xfId="1" applyFont="1" applyBorder="1" applyAlignment="1" applyProtection="1">
      <alignment horizontal="center" vertical="center"/>
      <protection hidden="1"/>
    </xf>
    <xf numFmtId="173" fontId="13" fillId="0" borderId="3" xfId="1" applyNumberFormat="1" applyFont="1" applyBorder="1" applyAlignment="1" applyProtection="1">
      <alignment vertical="center"/>
      <protection hidden="1"/>
    </xf>
    <xf numFmtId="0" fontId="32" fillId="10" borderId="31" xfId="1" applyFont="1" applyFill="1" applyBorder="1" applyAlignment="1" applyProtection="1">
      <alignment vertical="center"/>
      <protection hidden="1"/>
    </xf>
    <xf numFmtId="0" fontId="21" fillId="10" borderId="3" xfId="1" applyFont="1" applyFill="1" applyBorder="1" applyAlignment="1" applyProtection="1">
      <alignment vertical="center"/>
      <protection hidden="1"/>
    </xf>
    <xf numFmtId="183" fontId="13" fillId="0" borderId="3" xfId="1" applyNumberFormat="1" applyFont="1" applyBorder="1" applyAlignment="1" applyProtection="1">
      <alignment vertical="center"/>
      <protection hidden="1"/>
    </xf>
    <xf numFmtId="0" fontId="16" fillId="0" borderId="3" xfId="1" applyFont="1" applyBorder="1" applyAlignment="1" applyProtection="1">
      <alignment horizontal="center"/>
      <protection hidden="1"/>
    </xf>
    <xf numFmtId="164" fontId="62" fillId="0" borderId="3" xfId="1" applyNumberFormat="1" applyFont="1" applyBorder="1" applyAlignment="1" applyProtection="1">
      <alignment horizontal="left" vertical="center"/>
      <protection hidden="1"/>
    </xf>
    <xf numFmtId="164" fontId="62" fillId="0" borderId="4" xfId="1" applyNumberFormat="1" applyFont="1" applyBorder="1" applyAlignment="1" applyProtection="1">
      <alignment horizontal="left" vertical="center"/>
      <protection hidden="1"/>
    </xf>
    <xf numFmtId="0" fontId="30" fillId="0" borderId="31" xfId="1" applyFont="1" applyBorder="1" applyAlignment="1" applyProtection="1">
      <alignment vertical="center"/>
      <protection hidden="1"/>
    </xf>
    <xf numFmtId="0" fontId="30" fillId="0" borderId="4" xfId="1" applyFont="1" applyBorder="1" applyAlignment="1" applyProtection="1">
      <alignment vertical="center"/>
      <protection hidden="1"/>
    </xf>
    <xf numFmtId="1" fontId="16" fillId="18" borderId="12" xfId="3" applyNumberFormat="1" applyFont="1" applyFill="1" applyBorder="1" applyAlignment="1" applyProtection="1">
      <alignment horizontal="right" vertical="center"/>
      <protection hidden="1"/>
    </xf>
    <xf numFmtId="0" fontId="157" fillId="0" borderId="5" xfId="1" applyFont="1" applyBorder="1" applyAlignment="1" applyProtection="1">
      <alignment horizontal="left" vertical="center"/>
      <protection hidden="1"/>
    </xf>
    <xf numFmtId="0" fontId="16" fillId="0" borderId="29" xfId="1" applyFont="1" applyBorder="1" applyAlignment="1" applyProtection="1">
      <alignment horizontal="center"/>
      <protection hidden="1"/>
    </xf>
    <xf numFmtId="186" fontId="12" fillId="0" borderId="32" xfId="1" applyNumberFormat="1" applyFont="1" applyBorder="1" applyAlignment="1" applyProtection="1">
      <alignment horizontal="right" vertical="center"/>
      <protection hidden="1"/>
    </xf>
    <xf numFmtId="186" fontId="12" fillId="0" borderId="32" xfId="5" applyNumberFormat="1" applyFont="1" applyFill="1" applyBorder="1" applyAlignment="1" applyProtection="1">
      <alignment horizontal="right" vertical="center"/>
      <protection hidden="1"/>
    </xf>
    <xf numFmtId="186" fontId="12" fillId="10" borderId="32" xfId="1" applyNumberFormat="1" applyFont="1" applyFill="1" applyBorder="1" applyAlignment="1" applyProtection="1">
      <alignment horizontal="right" vertical="center"/>
      <protection hidden="1"/>
    </xf>
    <xf numFmtId="186" fontId="12" fillId="0" borderId="0" xfId="5" applyNumberFormat="1" applyFont="1" applyAlignment="1" applyProtection="1">
      <alignment horizontal="right" vertical="center"/>
      <protection hidden="1"/>
    </xf>
    <xf numFmtId="186" fontId="14" fillId="0" borderId="5" xfId="1" applyNumberFormat="1" applyFont="1" applyBorder="1" applyAlignment="1" applyProtection="1">
      <alignment horizontal="right" vertical="center"/>
      <protection hidden="1"/>
    </xf>
    <xf numFmtId="186" fontId="29" fillId="0" borderId="5" xfId="1" applyNumberFormat="1" applyFont="1" applyBorder="1" applyAlignment="1" applyProtection="1">
      <alignment horizontal="right" vertical="center"/>
      <protection hidden="1"/>
    </xf>
    <xf numFmtId="186" fontId="13" fillId="0" borderId="5" xfId="1" applyNumberFormat="1" applyFont="1" applyBorder="1" applyAlignment="1" applyProtection="1">
      <alignment horizontal="right" vertical="center"/>
      <protection hidden="1"/>
    </xf>
    <xf numFmtId="186" fontId="119" fillId="0" borderId="61" xfId="1" applyNumberFormat="1" applyFont="1" applyBorder="1" applyAlignment="1" applyProtection="1">
      <alignment horizontal="right" vertical="center"/>
      <protection hidden="1"/>
    </xf>
    <xf numFmtId="186" fontId="119" fillId="0" borderId="12" xfId="1" applyNumberFormat="1" applyFont="1" applyBorder="1" applyAlignment="1" applyProtection="1">
      <alignment horizontal="right" vertical="center"/>
      <protection hidden="1"/>
    </xf>
    <xf numFmtId="186" fontId="119" fillId="0" borderId="26" xfId="1" applyNumberFormat="1" applyFont="1" applyBorder="1" applyAlignment="1" applyProtection="1">
      <alignment horizontal="right" vertical="center"/>
      <protection hidden="1"/>
    </xf>
    <xf numFmtId="186" fontId="119" fillId="0" borderId="20" xfId="1" applyNumberFormat="1" applyFont="1" applyBorder="1" applyAlignment="1" applyProtection="1">
      <alignment horizontal="right" vertical="center"/>
      <protection hidden="1"/>
    </xf>
    <xf numFmtId="186" fontId="119" fillId="0" borderId="78" xfId="1" applyNumberFormat="1" applyFont="1" applyBorder="1" applyAlignment="1" applyProtection="1">
      <alignment horizontal="right" vertical="center"/>
      <protection hidden="1"/>
    </xf>
    <xf numFmtId="186" fontId="135" fillId="0" borderId="0" xfId="1" applyNumberFormat="1" applyFont="1" applyAlignment="1" applyProtection="1">
      <alignment horizontal="right" vertical="center"/>
      <protection hidden="1"/>
    </xf>
    <xf numFmtId="186" fontId="119" fillId="0" borderId="14" xfId="1" applyNumberFormat="1" applyFont="1" applyBorder="1" applyAlignment="1" applyProtection="1">
      <alignment horizontal="right" vertical="center"/>
      <protection hidden="1"/>
    </xf>
    <xf numFmtId="186" fontId="119" fillId="0" borderId="16" xfId="1" applyNumberFormat="1" applyFont="1" applyBorder="1" applyAlignment="1" applyProtection="1">
      <alignment horizontal="right" vertical="center"/>
      <protection hidden="1"/>
    </xf>
    <xf numFmtId="186" fontId="119" fillId="0" borderId="21" xfId="1" applyNumberFormat="1" applyFont="1" applyBorder="1" applyAlignment="1" applyProtection="1">
      <alignment horizontal="right" vertical="center"/>
      <protection hidden="1"/>
    </xf>
    <xf numFmtId="186" fontId="136" fillId="0" borderId="0" xfId="1" applyNumberFormat="1" applyFont="1" applyAlignment="1" applyProtection="1">
      <alignment horizontal="right" vertical="center"/>
      <protection hidden="1"/>
    </xf>
    <xf numFmtId="186" fontId="119" fillId="0" borderId="82" xfId="1" applyNumberFormat="1" applyFont="1" applyBorder="1" applyAlignment="1" applyProtection="1">
      <alignment horizontal="right" vertical="center"/>
      <protection hidden="1"/>
    </xf>
    <xf numFmtId="186" fontId="119" fillId="0" borderId="62" xfId="1" applyNumberFormat="1" applyFont="1" applyBorder="1" applyAlignment="1" applyProtection="1">
      <alignment horizontal="right" vertical="center"/>
      <protection hidden="1"/>
    </xf>
    <xf numFmtId="186" fontId="119" fillId="0" borderId="81" xfId="1" applyNumberFormat="1" applyFont="1" applyBorder="1" applyAlignment="1" applyProtection="1">
      <alignment horizontal="right" vertical="center"/>
      <protection hidden="1"/>
    </xf>
    <xf numFmtId="186" fontId="119" fillId="0" borderId="72" xfId="1" applyNumberFormat="1" applyFont="1" applyBorder="1" applyAlignment="1" applyProtection="1">
      <alignment horizontal="right" vertical="center"/>
      <protection hidden="1"/>
    </xf>
    <xf numFmtId="186" fontId="119" fillId="0" borderId="114" xfId="1" applyNumberFormat="1" applyFont="1" applyBorder="1" applyAlignment="1" applyProtection="1">
      <alignment vertical="center"/>
      <protection hidden="1"/>
    </xf>
    <xf numFmtId="186" fontId="119" fillId="0" borderId="113" xfId="1" applyNumberFormat="1" applyFont="1" applyBorder="1" applyAlignment="1" applyProtection="1">
      <alignment vertical="center"/>
      <protection hidden="1"/>
    </xf>
    <xf numFmtId="186" fontId="119" fillId="0" borderId="12" xfId="1" applyNumberFormat="1" applyFont="1" applyBorder="1" applyAlignment="1" applyProtection="1">
      <alignment vertical="center"/>
      <protection hidden="1"/>
    </xf>
    <xf numFmtId="186" fontId="119" fillId="0" borderId="20" xfId="1" applyNumberFormat="1" applyFont="1" applyBorder="1" applyAlignment="1" applyProtection="1">
      <alignment vertical="center"/>
      <protection hidden="1"/>
    </xf>
    <xf numFmtId="186" fontId="21" fillId="0" borderId="12" xfId="1" applyNumberFormat="1" applyFont="1" applyBorder="1" applyAlignment="1" applyProtection="1">
      <alignment horizontal="center" vertical="center"/>
      <protection hidden="1"/>
    </xf>
    <xf numFmtId="186" fontId="73" fillId="0" borderId="12" xfId="1" applyNumberFormat="1" applyFont="1" applyBorder="1" applyAlignment="1" applyProtection="1">
      <alignment horizontal="center" vertical="center"/>
      <protection hidden="1"/>
    </xf>
    <xf numFmtId="186" fontId="74" fillId="16" borderId="5" xfId="7" applyNumberFormat="1" applyFont="1" applyFill="1" applyBorder="1" applyAlignment="1" applyProtection="1">
      <alignment vertical="center"/>
      <protection hidden="1"/>
    </xf>
    <xf numFmtId="186" fontId="12" fillId="16" borderId="5" xfId="7" applyNumberFormat="1" applyFont="1" applyFill="1" applyBorder="1" applyAlignment="1" applyProtection="1">
      <alignment horizontal="right" vertical="center"/>
      <protection hidden="1"/>
    </xf>
    <xf numFmtId="186" fontId="74" fillId="16" borderId="68" xfId="7" applyNumberFormat="1" applyFont="1" applyFill="1" applyBorder="1" applyAlignment="1" applyProtection="1">
      <alignment vertical="center"/>
      <protection hidden="1"/>
    </xf>
    <xf numFmtId="186" fontId="12" fillId="16" borderId="68" xfId="7" applyNumberFormat="1" applyFont="1" applyFill="1" applyBorder="1" applyAlignment="1" applyProtection="1">
      <alignment vertical="center"/>
      <protection hidden="1"/>
    </xf>
    <xf numFmtId="186" fontId="19" fillId="16" borderId="68" xfId="7" applyNumberFormat="1" applyFont="1" applyFill="1" applyBorder="1" applyAlignment="1" applyProtection="1">
      <protection hidden="1"/>
    </xf>
    <xf numFmtId="186" fontId="12" fillId="16" borderId="68" xfId="7" applyNumberFormat="1" applyFont="1" applyFill="1" applyBorder="1" applyAlignment="1" applyProtection="1">
      <protection hidden="1"/>
    </xf>
    <xf numFmtId="186" fontId="74" fillId="16" borderId="68" xfId="7" applyNumberFormat="1" applyFont="1" applyFill="1" applyBorder="1" applyProtection="1">
      <protection hidden="1"/>
    </xf>
    <xf numFmtId="186" fontId="12" fillId="2" borderId="71" xfId="7" applyNumberFormat="1" applyFont="1" applyFill="1" applyBorder="1" applyProtection="1">
      <protection hidden="1"/>
    </xf>
    <xf numFmtId="186" fontId="12" fillId="2" borderId="66" xfId="6" applyNumberFormat="1" applyFont="1" applyFill="1" applyBorder="1" applyAlignment="1" applyProtection="1">
      <alignment horizontal="right" vertical="center"/>
      <protection hidden="1"/>
    </xf>
    <xf numFmtId="186" fontId="19" fillId="8" borderId="68" xfId="6" applyNumberFormat="1" applyFont="1" applyFill="1" applyBorder="1" applyAlignment="1" applyProtection="1">
      <alignment horizontal="right" vertical="center"/>
      <protection hidden="1"/>
    </xf>
    <xf numFmtId="186" fontId="12" fillId="2" borderId="68" xfId="6" applyNumberFormat="1" applyFont="1" applyFill="1" applyBorder="1" applyAlignment="1" applyProtection="1">
      <alignment horizontal="right" vertical="center"/>
      <protection hidden="1"/>
    </xf>
    <xf numFmtId="176" fontId="39" fillId="0" borderId="32" xfId="9" applyNumberFormat="1" applyFont="1" applyFill="1" applyBorder="1" applyAlignment="1" applyProtection="1">
      <alignment horizontal="right" vertical="center" indent="2"/>
      <protection locked="0"/>
    </xf>
    <xf numFmtId="176" fontId="18" fillId="0" borderId="5" xfId="0" applyNumberFormat="1" applyFont="1" applyBorder="1" applyAlignment="1" applyProtection="1">
      <alignment horizontal="right" vertical="center" indent="2"/>
      <protection locked="0"/>
    </xf>
    <xf numFmtId="176" fontId="19" fillId="0" borderId="5" xfId="0" applyNumberFormat="1" applyFont="1" applyBorder="1" applyAlignment="1" applyProtection="1">
      <alignment horizontal="right" vertical="center" indent="2"/>
      <protection locked="0"/>
    </xf>
    <xf numFmtId="176" fontId="19" fillId="0" borderId="32" xfId="0" applyNumberFormat="1" applyFont="1" applyBorder="1" applyAlignment="1" applyProtection="1">
      <alignment horizontal="right" vertical="center" indent="2"/>
      <protection locked="0"/>
    </xf>
    <xf numFmtId="184" fontId="13" fillId="0" borderId="8" xfId="9" applyNumberFormat="1" applyFont="1" applyBorder="1" applyAlignment="1" applyProtection="1">
      <alignment vertical="center"/>
      <protection hidden="1"/>
    </xf>
    <xf numFmtId="184" fontId="13" fillId="0" borderId="2" xfId="9" applyNumberFormat="1" applyFont="1" applyBorder="1" applyAlignment="1" applyProtection="1">
      <alignment vertical="center"/>
      <protection hidden="1"/>
    </xf>
    <xf numFmtId="0" fontId="29" fillId="0" borderId="121" xfId="1" applyFont="1" applyBorder="1" applyAlignment="1" applyProtection="1">
      <alignment vertical="center"/>
      <protection hidden="1"/>
    </xf>
    <xf numFmtId="0" fontId="29" fillId="0" borderId="0" xfId="1" applyFont="1" applyAlignment="1" applyProtection="1">
      <alignment horizontal="left" vertical="center"/>
      <protection hidden="1"/>
    </xf>
    <xf numFmtId="0" fontId="13" fillId="0" borderId="33" xfId="1" applyFont="1" applyBorder="1" applyAlignment="1" applyProtection="1">
      <alignment horizontal="left" vertical="center"/>
      <protection hidden="1"/>
    </xf>
    <xf numFmtId="0" fontId="30" fillId="0" borderId="33" xfId="1" applyFont="1" applyBorder="1" applyAlignment="1" applyProtection="1">
      <alignment vertical="center"/>
      <protection hidden="1"/>
    </xf>
    <xf numFmtId="164" fontId="62" fillId="0" borderId="173" xfId="1" applyNumberFormat="1" applyFont="1" applyBorder="1" applyAlignment="1" applyProtection="1">
      <alignment horizontal="left" vertical="center"/>
      <protection hidden="1"/>
    </xf>
    <xf numFmtId="164" fontId="62" fillId="0" borderId="163" xfId="1" applyNumberFormat="1" applyFont="1" applyBorder="1" applyAlignment="1" applyProtection="1">
      <alignment horizontal="left" vertical="center"/>
      <protection hidden="1"/>
    </xf>
    <xf numFmtId="164" fontId="62" fillId="0" borderId="174" xfId="1" applyNumberFormat="1" applyFont="1" applyBorder="1" applyAlignment="1" applyProtection="1">
      <alignment horizontal="left" vertical="center"/>
      <protection hidden="1"/>
    </xf>
    <xf numFmtId="164" fontId="62" fillId="0" borderId="164" xfId="1" applyNumberFormat="1" applyFont="1" applyBorder="1" applyAlignment="1" applyProtection="1">
      <alignment horizontal="left" vertical="center"/>
      <protection hidden="1"/>
    </xf>
    <xf numFmtId="0" fontId="32" fillId="0" borderId="33" xfId="1" applyFont="1" applyBorder="1" applyAlignment="1" applyProtection="1">
      <alignment horizontal="left" vertical="center"/>
      <protection hidden="1"/>
    </xf>
    <xf numFmtId="0" fontId="32" fillId="0" borderId="33" xfId="1" applyFont="1" applyBorder="1" applyAlignment="1" applyProtection="1">
      <alignment vertical="center"/>
      <protection hidden="1"/>
    </xf>
    <xf numFmtId="0" fontId="32" fillId="0" borderId="29" xfId="1" applyFont="1" applyBorder="1" applyAlignment="1" applyProtection="1">
      <alignment vertical="center"/>
      <protection hidden="1"/>
    </xf>
    <xf numFmtId="0" fontId="32" fillId="0" borderId="50" xfId="1" applyFont="1" applyBorder="1" applyAlignment="1" applyProtection="1">
      <alignment vertical="center"/>
      <protection hidden="1"/>
    </xf>
    <xf numFmtId="0" fontId="32" fillId="0" borderId="54" xfId="1" applyFont="1" applyBorder="1" applyAlignment="1" applyProtection="1">
      <alignment vertical="center"/>
      <protection hidden="1"/>
    </xf>
    <xf numFmtId="0" fontId="32" fillId="0" borderId="172" xfId="1" applyFont="1" applyBorder="1" applyAlignment="1" applyProtection="1">
      <alignment vertical="center"/>
      <protection hidden="1"/>
    </xf>
    <xf numFmtId="0" fontId="32" fillId="0" borderId="173" xfId="1" applyFont="1" applyBorder="1" applyAlignment="1" applyProtection="1">
      <alignment vertical="center"/>
      <protection hidden="1"/>
    </xf>
    <xf numFmtId="0" fontId="21" fillId="0" borderId="163" xfId="1" applyFont="1" applyBorder="1" applyAlignment="1" applyProtection="1">
      <alignment horizontal="left" vertical="center"/>
      <protection hidden="1"/>
    </xf>
    <xf numFmtId="0" fontId="30" fillId="0" borderId="174" xfId="1" applyFont="1" applyBorder="1" applyAlignment="1" applyProtection="1">
      <alignment vertical="center"/>
      <protection hidden="1"/>
    </xf>
    <xf numFmtId="0" fontId="30" fillId="0" borderId="164" xfId="1" applyFont="1" applyBorder="1" applyAlignment="1" applyProtection="1">
      <alignment vertical="center"/>
      <protection hidden="1"/>
    </xf>
    <xf numFmtId="1" fontId="30" fillId="0" borderId="16" xfId="3" applyNumberFormat="1" applyFont="1" applyBorder="1" applyProtection="1">
      <protection hidden="1"/>
    </xf>
    <xf numFmtId="1" fontId="30" fillId="0" borderId="14" xfId="3" applyNumberFormat="1" applyFont="1" applyBorder="1" applyProtection="1">
      <protection hidden="1"/>
    </xf>
    <xf numFmtId="0" fontId="29" fillId="0" borderId="13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133" fillId="0" borderId="13" xfId="0" applyFont="1" applyBorder="1" applyAlignment="1" applyProtection="1">
      <alignment horizontal="center" vertical="center"/>
      <protection locked="0"/>
    </xf>
    <xf numFmtId="0" fontId="158" fillId="19" borderId="15" xfId="3" applyFont="1" applyFill="1" applyBorder="1" applyAlignment="1" applyProtection="1">
      <alignment horizontal="right"/>
      <protection hidden="1"/>
    </xf>
    <xf numFmtId="1" fontId="118" fillId="19" borderId="16" xfId="3" applyNumberFormat="1" applyFont="1" applyFill="1" applyBorder="1" applyProtection="1">
      <protection hidden="1"/>
    </xf>
    <xf numFmtId="0" fontId="21" fillId="0" borderId="0" xfId="6" applyFont="1" applyAlignment="1" applyProtection="1">
      <alignment vertical="center" wrapText="1"/>
      <protection hidden="1"/>
    </xf>
    <xf numFmtId="0" fontId="159" fillId="0" borderId="46" xfId="0" applyFont="1" applyBorder="1" applyAlignment="1" applyProtection="1">
      <alignment horizontal="center" vertical="center"/>
      <protection locked="0"/>
    </xf>
    <xf numFmtId="0" fontId="139" fillId="2" borderId="13" xfId="0" applyFont="1" applyFill="1" applyBorder="1" applyAlignment="1" applyProtection="1">
      <alignment vertical="center"/>
      <protection hidden="1"/>
    </xf>
    <xf numFmtId="0" fontId="140" fillId="2" borderId="91" xfId="0" applyFont="1" applyFill="1" applyBorder="1" applyAlignment="1" applyProtection="1">
      <alignment vertical="center"/>
      <protection hidden="1"/>
    </xf>
    <xf numFmtId="0" fontId="140" fillId="2" borderId="77" xfId="0" applyFont="1" applyFill="1" applyBorder="1" applyAlignment="1" applyProtection="1">
      <alignment horizontal="left" vertical="center"/>
      <protection hidden="1"/>
    </xf>
    <xf numFmtId="187" fontId="12" fillId="0" borderId="43" xfId="0" applyNumberFormat="1" applyFont="1" applyBorder="1" applyAlignment="1" applyProtection="1">
      <alignment horizontal="right" vertical="center"/>
      <protection hidden="1"/>
    </xf>
    <xf numFmtId="187" fontId="12" fillId="0" borderId="44" xfId="0" applyNumberFormat="1" applyFont="1" applyBorder="1" applyAlignment="1" applyProtection="1">
      <alignment horizontal="right" vertical="center"/>
      <protection hidden="1"/>
    </xf>
    <xf numFmtId="187" fontId="21" fillId="0" borderId="13" xfId="0" applyNumberFormat="1" applyFont="1" applyBorder="1" applyAlignment="1" applyProtection="1">
      <alignment horizontal="center" vertical="center"/>
      <protection hidden="1"/>
    </xf>
    <xf numFmtId="187" fontId="19" fillId="0" borderId="5" xfId="0" applyNumberFormat="1" applyFont="1" applyBorder="1" applyAlignment="1" applyProtection="1">
      <alignment horizontal="center" vertical="center"/>
      <protection locked="0"/>
    </xf>
    <xf numFmtId="187" fontId="21" fillId="0" borderId="5" xfId="0" applyNumberFormat="1" applyFont="1" applyBorder="1" applyAlignment="1" applyProtection="1">
      <alignment horizontal="center" vertical="center"/>
      <protection locked="0"/>
    </xf>
    <xf numFmtId="176" fontId="21" fillId="0" borderId="5" xfId="9" applyNumberFormat="1" applyFont="1" applyFill="1" applyBorder="1" applyAlignment="1" applyProtection="1">
      <alignment horizontal="right" vertical="center"/>
      <protection hidden="1"/>
    </xf>
    <xf numFmtId="0" fontId="72" fillId="0" borderId="0" xfId="1" applyFont="1" applyAlignment="1" applyProtection="1">
      <alignment horizontal="right" vertical="center"/>
      <protection hidden="1"/>
    </xf>
    <xf numFmtId="176" fontId="72" fillId="0" borderId="0" xfId="9" applyNumberFormat="1" applyFont="1" applyBorder="1" applyAlignment="1" applyProtection="1">
      <alignment horizontal="right" vertical="center"/>
      <protection hidden="1"/>
    </xf>
    <xf numFmtId="176" fontId="160" fillId="0" borderId="5" xfId="9" applyNumberFormat="1" applyFont="1" applyBorder="1" applyAlignment="1" applyProtection="1">
      <alignment horizontal="right" vertical="center"/>
      <protection hidden="1"/>
    </xf>
    <xf numFmtId="187" fontId="85" fillId="0" borderId="12" xfId="1" applyNumberFormat="1" applyFont="1" applyBorder="1" applyAlignment="1" applyProtection="1">
      <alignment vertical="center"/>
      <protection hidden="1"/>
    </xf>
    <xf numFmtId="0" fontId="32" fillId="0" borderId="5" xfId="1" applyFont="1" applyBorder="1" applyAlignment="1" applyProtection="1">
      <alignment horizontal="left" vertical="center"/>
      <protection hidden="1"/>
    </xf>
    <xf numFmtId="0" fontId="38" fillId="0" borderId="43" xfId="1" applyFont="1" applyBorder="1" applyAlignment="1" applyProtection="1">
      <alignment horizontal="center" vertical="center"/>
      <protection hidden="1"/>
    </xf>
    <xf numFmtId="186" fontId="14" fillId="0" borderId="32" xfId="1" applyNumberFormat="1" applyFont="1" applyBorder="1" applyAlignment="1" applyProtection="1">
      <alignment horizontal="right" vertical="center"/>
      <protection hidden="1"/>
    </xf>
    <xf numFmtId="0" fontId="38" fillId="0" borderId="44" xfId="1" applyFont="1" applyBorder="1" applyAlignment="1" applyProtection="1">
      <alignment horizontal="center" vertical="center"/>
      <protection hidden="1"/>
    </xf>
    <xf numFmtId="0" fontId="48" fillId="0" borderId="5" xfId="1" applyFont="1" applyBorder="1" applyAlignment="1" applyProtection="1">
      <alignment horizontal="left" vertical="center"/>
      <protection hidden="1"/>
    </xf>
    <xf numFmtId="186" fontId="15" fillId="0" borderId="32" xfId="1" applyNumberFormat="1" applyFont="1" applyBorder="1" applyAlignment="1" applyProtection="1">
      <alignment horizontal="right" vertical="center"/>
      <protection hidden="1"/>
    </xf>
    <xf numFmtId="0" fontId="157" fillId="0" borderId="45" xfId="1" applyFont="1" applyBorder="1" applyAlignment="1" applyProtection="1">
      <alignment horizontal="left" vertical="center"/>
      <protection hidden="1"/>
    </xf>
    <xf numFmtId="186" fontId="14" fillId="0" borderId="46" xfId="1" applyNumberFormat="1" applyFont="1" applyBorder="1" applyAlignment="1" applyProtection="1">
      <alignment horizontal="right" vertical="center"/>
      <protection hidden="1"/>
    </xf>
    <xf numFmtId="0" fontId="13" fillId="0" borderId="31" xfId="1" applyFont="1" applyBorder="1" applyAlignment="1" applyProtection="1">
      <alignment vertical="center"/>
      <protection hidden="1"/>
    </xf>
    <xf numFmtId="187" fontId="13" fillId="0" borderId="0" xfId="0" applyNumberFormat="1" applyFont="1" applyAlignment="1" applyProtection="1">
      <alignment horizontal="center" vertical="center"/>
      <protection hidden="1"/>
    </xf>
    <xf numFmtId="187" fontId="14" fillId="0" borderId="1" xfId="0" applyNumberFormat="1" applyFont="1" applyBorder="1" applyAlignment="1" applyProtection="1">
      <alignment horizontal="center" vertical="center"/>
      <protection hidden="1"/>
    </xf>
    <xf numFmtId="187" fontId="14" fillId="0" borderId="120" xfId="0" applyNumberFormat="1" applyFont="1" applyBorder="1" applyAlignment="1" applyProtection="1">
      <alignment horizontal="center" vertical="center"/>
      <protection hidden="1"/>
    </xf>
    <xf numFmtId="164" fontId="85" fillId="0" borderId="0" xfId="1" applyNumberFormat="1" applyFont="1" applyProtection="1">
      <protection hidden="1"/>
    </xf>
    <xf numFmtId="0" fontId="85" fillId="0" borderId="83" xfId="1" applyFont="1" applyBorder="1" applyProtection="1">
      <protection hidden="1"/>
    </xf>
    <xf numFmtId="0" fontId="85" fillId="0" borderId="111" xfId="1" applyFont="1" applyBorder="1" applyProtection="1">
      <protection hidden="1"/>
    </xf>
    <xf numFmtId="186" fontId="73" fillId="0" borderId="12" xfId="1" applyNumberFormat="1" applyFont="1" applyBorder="1" applyAlignment="1" applyProtection="1">
      <alignment vertical="center"/>
      <protection hidden="1"/>
    </xf>
    <xf numFmtId="0" fontId="109" fillId="18" borderId="87" xfId="1" applyFont="1" applyFill="1" applyBorder="1" applyAlignment="1" applyProtection="1">
      <alignment vertical="center"/>
      <protection hidden="1"/>
    </xf>
    <xf numFmtId="1" fontId="111" fillId="18" borderId="12" xfId="1" applyNumberFormat="1" applyFont="1" applyFill="1" applyBorder="1" applyAlignment="1" applyProtection="1">
      <alignment vertical="center"/>
      <protection hidden="1"/>
    </xf>
    <xf numFmtId="186" fontId="73" fillId="18" borderId="12" xfId="1" applyNumberFormat="1" applyFont="1" applyFill="1" applyBorder="1" applyAlignment="1" applyProtection="1">
      <alignment vertical="center"/>
      <protection hidden="1"/>
    </xf>
    <xf numFmtId="0" fontId="109" fillId="18" borderId="12" xfId="1" applyFont="1" applyFill="1" applyBorder="1" applyAlignment="1" applyProtection="1">
      <alignment horizontal="center" vertical="center"/>
      <protection hidden="1"/>
    </xf>
    <xf numFmtId="49" fontId="101" fillId="18" borderId="20" xfId="1" applyNumberFormat="1" applyFont="1" applyFill="1" applyBorder="1" applyAlignment="1" applyProtection="1">
      <alignment horizontal="center" vertical="center"/>
      <protection hidden="1"/>
    </xf>
    <xf numFmtId="0" fontId="21" fillId="3" borderId="44" xfId="0" applyFont="1" applyFill="1" applyBorder="1" applyAlignment="1" applyProtection="1">
      <alignment vertical="center"/>
      <protection hidden="1"/>
    </xf>
    <xf numFmtId="0" fontId="163" fillId="0" borderId="12" xfId="0" applyFont="1" applyBorder="1" applyAlignment="1">
      <alignment horizontal="center" vertical="center"/>
    </xf>
    <xf numFmtId="183" fontId="19" fillId="0" borderId="12" xfId="0" applyNumberFormat="1" applyFont="1" applyBorder="1" applyAlignment="1">
      <alignment horizontal="right" vertical="center"/>
    </xf>
    <xf numFmtId="183" fontId="12" fillId="0" borderId="12" xfId="0" applyNumberFormat="1" applyFont="1" applyBorder="1" applyAlignment="1">
      <alignment horizontal="right" vertical="center"/>
    </xf>
    <xf numFmtId="0" fontId="6" fillId="0" borderId="0" xfId="0" applyFont="1"/>
    <xf numFmtId="0" fontId="149" fillId="0" borderId="0" xfId="0" applyFont="1" applyProtection="1">
      <protection hidden="1"/>
    </xf>
    <xf numFmtId="0" fontId="7" fillId="28" borderId="58" xfId="0" applyFont="1" applyFill="1" applyBorder="1" applyAlignment="1" applyProtection="1">
      <alignment vertical="center"/>
      <protection hidden="1"/>
    </xf>
    <xf numFmtId="0" fontId="24" fillId="28" borderId="58" xfId="0" applyFont="1" applyFill="1" applyBorder="1" applyAlignment="1" applyProtection="1">
      <alignment vertical="center"/>
      <protection hidden="1"/>
    </xf>
    <xf numFmtId="0" fontId="24" fillId="28" borderId="138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2" fillId="2" borderId="12" xfId="0" applyFont="1" applyFill="1" applyBorder="1" applyAlignment="1" applyProtection="1">
      <alignment horizontal="center" vertical="center" wrapText="1"/>
      <protection hidden="1"/>
    </xf>
    <xf numFmtId="0" fontId="32" fillId="2" borderId="12" xfId="0" applyFont="1" applyFill="1" applyBorder="1" applyAlignment="1" applyProtection="1">
      <alignment horizontal="center" vertical="center"/>
      <protection hidden="1"/>
    </xf>
    <xf numFmtId="0" fontId="149" fillId="0" borderId="0" xfId="0" applyFont="1" applyAlignment="1" applyProtection="1">
      <alignment horizontal="center" vertical="center"/>
      <protection hidden="1"/>
    </xf>
    <xf numFmtId="0" fontId="170" fillId="29" borderId="12" xfId="0" applyFont="1" applyFill="1" applyBorder="1" applyAlignment="1" applyProtection="1">
      <alignment horizontal="center" vertical="center"/>
      <protection hidden="1"/>
    </xf>
    <xf numFmtId="0" fontId="150" fillId="10" borderId="43" xfId="0" applyFont="1" applyFill="1" applyBorder="1" applyAlignment="1" applyProtection="1">
      <alignment horizontal="center" vertical="center" wrapText="1"/>
      <protection hidden="1"/>
    </xf>
    <xf numFmtId="0" fontId="150" fillId="10" borderId="5" xfId="0" applyFont="1" applyFill="1" applyBorder="1" applyAlignment="1" applyProtection="1">
      <alignment horizontal="center" vertical="center" wrapText="1"/>
      <protection hidden="1"/>
    </xf>
    <xf numFmtId="0" fontId="150" fillId="10" borderId="32" xfId="0" applyFont="1" applyFill="1" applyBorder="1" applyAlignment="1" applyProtection="1">
      <alignment horizontal="center" vertical="center" wrapText="1"/>
      <protection hidden="1"/>
    </xf>
    <xf numFmtId="0" fontId="149" fillId="11" borderId="177" xfId="0" applyFont="1" applyFill="1" applyBorder="1" applyAlignment="1" applyProtection="1">
      <alignment horizontal="center" vertical="center"/>
      <protection hidden="1"/>
    </xf>
    <xf numFmtId="0" fontId="171" fillId="11" borderId="180" xfId="0" applyFont="1" applyFill="1" applyBorder="1" applyAlignment="1" applyProtection="1">
      <alignment horizontal="center" vertical="center"/>
      <protection hidden="1"/>
    </xf>
    <xf numFmtId="1" fontId="7" fillId="22" borderId="12" xfId="0" applyNumberFormat="1" applyFont="1" applyFill="1" applyBorder="1" applyAlignment="1" applyProtection="1">
      <alignment horizontal="center" vertical="center"/>
      <protection hidden="1"/>
    </xf>
    <xf numFmtId="171" fontId="0" fillId="0" borderId="0" xfId="0" applyNumberFormat="1" applyAlignment="1" applyProtection="1">
      <alignment horizontal="center" vertical="center"/>
      <protection hidden="1"/>
    </xf>
    <xf numFmtId="171" fontId="31" fillId="0" borderId="181" xfId="0" applyNumberFormat="1" applyFont="1" applyBorder="1" applyAlignment="1" applyProtection="1">
      <alignment horizontal="center" vertical="center"/>
      <protection hidden="1"/>
    </xf>
    <xf numFmtId="0" fontId="7" fillId="0" borderId="182" xfId="0" applyFont="1" applyBorder="1" applyAlignment="1" applyProtection="1">
      <alignment horizontal="left" vertical="center"/>
      <protection hidden="1"/>
    </xf>
    <xf numFmtId="0" fontId="7" fillId="0" borderId="182" xfId="0" applyFont="1" applyBorder="1" applyAlignment="1" applyProtection="1">
      <alignment horizontal="center" vertical="center" wrapText="1"/>
      <protection hidden="1"/>
    </xf>
    <xf numFmtId="186" fontId="29" fillId="0" borderId="183" xfId="9" applyNumberFormat="1" applyFont="1" applyFill="1" applyBorder="1" applyAlignment="1" applyProtection="1">
      <alignment horizontal="right" vertical="center"/>
      <protection hidden="1"/>
    </xf>
    <xf numFmtId="171" fontId="31" fillId="0" borderId="13" xfId="0" applyNumberFormat="1" applyFont="1" applyBorder="1" applyAlignment="1" applyProtection="1">
      <alignment horizontal="center" vertical="center"/>
      <protection hidden="1"/>
    </xf>
    <xf numFmtId="0" fontId="7" fillId="0" borderId="78" xfId="0" applyFont="1" applyBorder="1" applyAlignment="1" applyProtection="1">
      <alignment horizontal="left" vertical="center"/>
      <protection hidden="1"/>
    </xf>
    <xf numFmtId="186" fontId="29" fillId="0" borderId="20" xfId="9" applyNumberFormat="1" applyFont="1" applyFill="1" applyBorder="1" applyAlignment="1" applyProtection="1">
      <alignment horizontal="right" vertical="center"/>
      <protection hidden="1"/>
    </xf>
    <xf numFmtId="0" fontId="7" fillId="0" borderId="78" xfId="0" applyFont="1" applyBorder="1" applyAlignment="1" applyProtection="1">
      <alignment horizontal="left" vertical="center" wrapText="1"/>
      <protection hidden="1"/>
    </xf>
    <xf numFmtId="0" fontId="7" fillId="0" borderId="78" xfId="0" applyFont="1" applyBorder="1" applyAlignment="1" applyProtection="1">
      <alignment horizontal="center" vertical="center" wrapText="1"/>
      <protection hidden="1"/>
    </xf>
    <xf numFmtId="1" fontId="39" fillId="0" borderId="43" xfId="0" applyNumberFormat="1" applyFont="1" applyBorder="1" applyAlignment="1" applyProtection="1">
      <alignment horizontal="center" vertical="center"/>
      <protection hidden="1"/>
    </xf>
    <xf numFmtId="186" fontId="12" fillId="0" borderId="5" xfId="1" applyNumberFormat="1" applyFont="1" applyBorder="1" applyAlignment="1" applyProtection="1">
      <alignment horizontal="right" vertical="center"/>
      <protection locked="0"/>
    </xf>
    <xf numFmtId="186" fontId="173" fillId="0" borderId="5" xfId="1" applyNumberFormat="1" applyFont="1" applyBorder="1" applyAlignment="1" applyProtection="1">
      <alignment horizontal="right" vertical="center"/>
      <protection locked="0"/>
    </xf>
    <xf numFmtId="184" fontId="174" fillId="0" borderId="5" xfId="9" applyNumberFormat="1" applyFont="1" applyFill="1" applyBorder="1" applyAlignment="1" applyProtection="1">
      <alignment horizontal="right" vertical="center"/>
      <protection hidden="1"/>
    </xf>
    <xf numFmtId="186" fontId="12" fillId="0" borderId="5" xfId="1" applyNumberFormat="1" applyFont="1" applyBorder="1" applyAlignment="1" applyProtection="1">
      <alignment horizontal="right" vertical="center"/>
      <protection hidden="1"/>
    </xf>
    <xf numFmtId="0" fontId="175" fillId="0" borderId="78" xfId="0" applyFont="1" applyBorder="1" applyAlignment="1" applyProtection="1">
      <alignment horizontal="center" vertical="center"/>
      <protection hidden="1"/>
    </xf>
    <xf numFmtId="0" fontId="13" fillId="0" borderId="91" xfId="0" applyFont="1" applyBorder="1" applyAlignment="1" applyProtection="1">
      <alignment horizontal="left" vertical="center"/>
      <protection hidden="1"/>
    </xf>
    <xf numFmtId="0" fontId="13" fillId="0" borderId="78" xfId="0" applyFont="1" applyBorder="1" applyAlignment="1" applyProtection="1">
      <alignment horizontal="left" vertical="center"/>
      <protection hidden="1"/>
    </xf>
    <xf numFmtId="171" fontId="31" fillId="10" borderId="184" xfId="0" applyNumberFormat="1" applyFont="1" applyFill="1" applyBorder="1" applyAlignment="1" applyProtection="1">
      <alignment horizontal="center" vertical="center"/>
      <protection hidden="1"/>
    </xf>
    <xf numFmtId="0" fontId="176" fillId="10" borderId="18" xfId="0" applyFont="1" applyFill="1" applyBorder="1" applyAlignment="1" applyProtection="1">
      <alignment horizontal="left" vertical="center"/>
      <protection hidden="1"/>
    </xf>
    <xf numFmtId="186" fontId="29" fillId="10" borderId="122" xfId="9" applyNumberFormat="1" applyFont="1" applyFill="1" applyBorder="1" applyAlignment="1" applyProtection="1">
      <alignment horizontal="right" vertical="center"/>
      <protection hidden="1"/>
    </xf>
    <xf numFmtId="0" fontId="178" fillId="0" borderId="18" xfId="0" applyFont="1" applyBorder="1" applyAlignment="1" applyProtection="1">
      <alignment vertical="center"/>
      <protection hidden="1"/>
    </xf>
    <xf numFmtId="1" fontId="181" fillId="0" borderId="43" xfId="0" applyNumberFormat="1" applyFont="1" applyBorder="1" applyAlignment="1" applyProtection="1">
      <alignment horizontal="center" vertical="center"/>
      <protection hidden="1"/>
    </xf>
    <xf numFmtId="1" fontId="182" fillId="0" borderId="5" xfId="0" applyNumberFormat="1" applyFont="1" applyBorder="1" applyAlignment="1" applyProtection="1">
      <alignment horizontal="center" vertical="center"/>
      <protection locked="0"/>
    </xf>
    <xf numFmtId="0" fontId="183" fillId="0" borderId="58" xfId="0" applyFont="1" applyBorder="1" applyAlignment="1" applyProtection="1">
      <alignment vertical="center" wrapText="1"/>
      <protection hidden="1"/>
    </xf>
    <xf numFmtId="0" fontId="185" fillId="0" borderId="0" xfId="0" applyFont="1" applyAlignment="1" applyProtection="1">
      <alignment horizontal="center" vertical="center"/>
      <protection hidden="1"/>
    </xf>
    <xf numFmtId="1" fontId="181" fillId="16" borderId="44" xfId="0" applyNumberFormat="1" applyFont="1" applyFill="1" applyBorder="1" applyAlignment="1" applyProtection="1">
      <alignment horizontal="center" vertical="center"/>
      <protection hidden="1"/>
    </xf>
    <xf numFmtId="186" fontId="173" fillId="16" borderId="45" xfId="1" applyNumberFormat="1" applyFont="1" applyFill="1" applyBorder="1" applyAlignment="1" applyProtection="1">
      <alignment horizontal="right" vertical="center"/>
      <protection hidden="1"/>
    </xf>
    <xf numFmtId="184" fontId="174" fillId="16" borderId="45" xfId="9" applyNumberFormat="1" applyFont="1" applyFill="1" applyBorder="1" applyAlignment="1" applyProtection="1">
      <alignment horizontal="right" vertical="center"/>
      <protection hidden="1"/>
    </xf>
    <xf numFmtId="186" fontId="12" fillId="16" borderId="45" xfId="1" applyNumberFormat="1" applyFont="1" applyFill="1" applyBorder="1" applyAlignment="1" applyProtection="1">
      <alignment horizontal="right" vertical="center"/>
      <protection hidden="1"/>
    </xf>
    <xf numFmtId="186" fontId="12" fillId="16" borderId="46" xfId="1" applyNumberFormat="1" applyFont="1" applyFill="1" applyBorder="1" applyAlignment="1" applyProtection="1">
      <alignment horizontal="right" vertical="center"/>
      <protection hidden="1"/>
    </xf>
    <xf numFmtId="0" fontId="186" fillId="0" borderId="152" xfId="0" applyFont="1" applyBorder="1" applyAlignment="1" applyProtection="1">
      <alignment horizontal="center" vertical="center"/>
      <protection hidden="1"/>
    </xf>
    <xf numFmtId="0" fontId="0" fillId="0" borderId="153" xfId="0" applyBorder="1" applyAlignment="1" applyProtection="1">
      <alignment horizontal="center" vertical="center" wrapText="1"/>
      <protection hidden="1"/>
    </xf>
    <xf numFmtId="186" fontId="12" fillId="0" borderId="153" xfId="1" applyNumberFormat="1" applyFont="1" applyBorder="1" applyAlignment="1" applyProtection="1">
      <alignment horizontal="right" vertical="center"/>
      <protection hidden="1"/>
    </xf>
    <xf numFmtId="186" fontId="12" fillId="0" borderId="154" xfId="1" applyNumberFormat="1" applyFont="1" applyBorder="1" applyAlignment="1" applyProtection="1">
      <alignment horizontal="right" vertical="center"/>
      <protection hidden="1"/>
    </xf>
    <xf numFmtId="0" fontId="21" fillId="2" borderId="12" xfId="0" applyFont="1" applyFill="1" applyBorder="1" applyAlignment="1" applyProtection="1">
      <alignment horizontal="center" vertical="center" wrapText="1"/>
      <protection hidden="1"/>
    </xf>
    <xf numFmtId="0" fontId="187" fillId="18" borderId="132" xfId="0" applyFont="1" applyFill="1" applyBorder="1" applyAlignment="1" applyProtection="1">
      <alignment horizontal="center" vertical="center"/>
      <protection hidden="1"/>
    </xf>
    <xf numFmtId="0" fontId="13" fillId="18" borderId="58" xfId="0" applyFont="1" applyFill="1" applyBorder="1" applyAlignment="1" applyProtection="1">
      <alignment horizontal="left" vertical="center"/>
      <protection hidden="1"/>
    </xf>
    <xf numFmtId="186" fontId="24" fillId="18" borderId="58" xfId="0" applyNumberFormat="1" applyFont="1" applyFill="1" applyBorder="1" applyAlignment="1" applyProtection="1">
      <alignment horizontal="center" vertical="center"/>
      <protection hidden="1"/>
    </xf>
    <xf numFmtId="0" fontId="175" fillId="18" borderId="58" xfId="0" applyFont="1" applyFill="1" applyBorder="1" applyAlignment="1" applyProtection="1">
      <alignment horizontal="center" vertical="center"/>
      <protection hidden="1"/>
    </xf>
    <xf numFmtId="186" fontId="31" fillId="18" borderId="138" xfId="9" applyNumberFormat="1" applyFont="1" applyFill="1" applyBorder="1" applyAlignment="1" applyProtection="1">
      <alignment horizontal="right" vertical="center"/>
      <protection hidden="1"/>
    </xf>
    <xf numFmtId="0" fontId="149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 wrapText="1"/>
      <protection hidden="1"/>
    </xf>
    <xf numFmtId="171" fontId="31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 wrapText="1"/>
      <protection hidden="1"/>
    </xf>
    <xf numFmtId="186" fontId="29" fillId="0" borderId="0" xfId="9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163" fillId="0" borderId="0" xfId="0" applyFont="1" applyAlignment="1" applyProtection="1">
      <alignment vertical="center"/>
      <protection hidden="1"/>
    </xf>
    <xf numFmtId="0" fontId="32" fillId="30" borderId="12" xfId="0" applyFont="1" applyFill="1" applyBorder="1" applyAlignment="1" applyProtection="1">
      <alignment horizontal="center" vertical="center" wrapText="1"/>
      <protection hidden="1"/>
    </xf>
    <xf numFmtId="0" fontId="44" fillId="0" borderId="25" xfId="0" applyFont="1" applyBorder="1" applyAlignment="1" applyProtection="1">
      <alignment vertical="top"/>
      <protection hidden="1"/>
    </xf>
    <xf numFmtId="0" fontId="178" fillId="0" borderId="0" xfId="0" applyFont="1" applyAlignment="1" applyProtection="1">
      <alignment vertical="top"/>
      <protection hidden="1"/>
    </xf>
    <xf numFmtId="0" fontId="44" fillId="0" borderId="0" xfId="0" applyFont="1" applyAlignment="1" applyProtection="1">
      <alignment vertical="top"/>
      <protection hidden="1"/>
    </xf>
    <xf numFmtId="0" fontId="0" fillId="0" borderId="25" xfId="0" applyBorder="1" applyAlignment="1" applyProtection="1">
      <alignment vertical="top"/>
      <protection hidden="1"/>
    </xf>
    <xf numFmtId="0" fontId="44" fillId="0" borderId="25" xfId="0" applyFont="1" applyBorder="1" applyAlignment="1" applyProtection="1">
      <alignment horizontal="right" vertical="top" wrapText="1"/>
      <protection hidden="1"/>
    </xf>
    <xf numFmtId="0" fontId="44" fillId="0" borderId="0" xfId="0" applyFont="1" applyAlignment="1" applyProtection="1">
      <alignment horizontal="center" vertical="top" wrapText="1"/>
      <protection hidden="1"/>
    </xf>
    <xf numFmtId="0" fontId="44" fillId="0" borderId="0" xfId="0" applyFont="1" applyAlignment="1" applyProtection="1">
      <alignment horizontal="left" vertical="top" wrapText="1"/>
      <protection hidden="1"/>
    </xf>
    <xf numFmtId="0" fontId="44" fillId="0" borderId="25" xfId="0" applyFont="1" applyBorder="1" applyAlignment="1" applyProtection="1">
      <alignment horizontal="center" vertical="top" wrapText="1"/>
      <protection hidden="1"/>
    </xf>
    <xf numFmtId="0" fontId="0" fillId="0" borderId="25" xfId="0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46" fillId="0" borderId="0" xfId="0" applyFont="1" applyAlignment="1" applyProtection="1">
      <alignment horizontal="center" vertical="top" wrapText="1"/>
      <protection hidden="1"/>
    </xf>
    <xf numFmtId="0" fontId="46" fillId="0" borderId="26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26" xfId="0" applyBorder="1" applyAlignment="1" applyProtection="1">
      <alignment vertical="top"/>
      <protection hidden="1"/>
    </xf>
    <xf numFmtId="0" fontId="44" fillId="0" borderId="26" xfId="0" applyFont="1" applyBorder="1" applyAlignment="1" applyProtection="1">
      <alignment horizontal="center" vertical="top" wrapText="1"/>
      <protection hidden="1"/>
    </xf>
    <xf numFmtId="0" fontId="44" fillId="0" borderId="0" xfId="0" applyFont="1" applyAlignment="1" applyProtection="1">
      <alignment vertical="top" wrapText="1"/>
      <protection hidden="1"/>
    </xf>
    <xf numFmtId="0" fontId="44" fillId="0" borderId="26" xfId="0" applyFont="1" applyBorder="1" applyAlignment="1" applyProtection="1">
      <alignment vertical="top" wrapText="1"/>
      <protection hidden="1"/>
    </xf>
    <xf numFmtId="0" fontId="44" fillId="0" borderId="0" xfId="0" applyFont="1" applyAlignment="1" applyProtection="1">
      <alignment horizontal="right" vertical="top" wrapText="1"/>
      <protection hidden="1"/>
    </xf>
    <xf numFmtId="0" fontId="44" fillId="0" borderId="0" xfId="0" applyFont="1" applyProtection="1">
      <protection hidden="1"/>
    </xf>
    <xf numFmtId="0" fontId="44" fillId="0" borderId="25" xfId="0" applyFont="1" applyBorder="1" applyAlignment="1" applyProtection="1">
      <alignment horizontal="left" vertical="top" wrapText="1"/>
      <protection hidden="1"/>
    </xf>
    <xf numFmtId="192" fontId="44" fillId="0" borderId="0" xfId="0" applyNumberFormat="1" applyFont="1" applyAlignment="1" applyProtection="1">
      <alignment horizontal="left" vertical="top" wrapText="1"/>
      <protection hidden="1"/>
    </xf>
    <xf numFmtId="0" fontId="44" fillId="0" borderId="26" xfId="0" applyFont="1" applyBorder="1" applyAlignment="1" applyProtection="1">
      <alignment horizontal="right" vertical="top" wrapText="1"/>
      <protection hidden="1"/>
    </xf>
    <xf numFmtId="0" fontId="44" fillId="0" borderId="17" xfId="0" applyFont="1" applyBorder="1" applyAlignment="1" applyProtection="1">
      <alignment horizontal="center" vertical="center" wrapText="1"/>
      <protection hidden="1"/>
    </xf>
    <xf numFmtId="0" fontId="44" fillId="0" borderId="18" xfId="0" applyFont="1" applyBorder="1" applyAlignment="1" applyProtection="1">
      <alignment horizontal="center" vertical="center" wrapText="1"/>
      <protection hidden="1"/>
    </xf>
    <xf numFmtId="0" fontId="44" fillId="0" borderId="19" xfId="0" applyFont="1" applyBorder="1" applyAlignment="1" applyProtection="1">
      <alignment horizontal="center" vertical="center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44" fillId="0" borderId="25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26" xfId="0" applyFont="1" applyBorder="1" applyAlignment="1" applyProtection="1">
      <alignment horizontal="center" vertical="center" wrapText="1"/>
      <protection hidden="1"/>
    </xf>
    <xf numFmtId="0" fontId="44" fillId="0" borderId="185" xfId="0" applyFont="1" applyBorder="1" applyAlignment="1" applyProtection="1">
      <alignment horizontal="center" vertical="center"/>
      <protection hidden="1"/>
    </xf>
    <xf numFmtId="0" fontId="44" fillId="0" borderId="169" xfId="0" applyFont="1" applyBorder="1" applyAlignment="1" applyProtection="1">
      <alignment vertical="center"/>
      <protection hidden="1"/>
    </xf>
    <xf numFmtId="186" fontId="73" fillId="0" borderId="186" xfId="0" applyNumberFormat="1" applyFont="1" applyBorder="1" applyAlignment="1" applyProtection="1">
      <alignment horizontal="right"/>
      <protection hidden="1"/>
    </xf>
    <xf numFmtId="0" fontId="44" fillId="0" borderId="173" xfId="0" applyFont="1" applyBorder="1" applyAlignment="1" applyProtection="1">
      <alignment horizontal="center" vertical="center"/>
      <protection hidden="1"/>
    </xf>
    <xf numFmtId="0" fontId="44" fillId="0" borderId="3" xfId="0" applyFont="1" applyBorder="1" applyAlignment="1" applyProtection="1">
      <alignment vertical="center"/>
      <protection hidden="1"/>
    </xf>
    <xf numFmtId="186" fontId="73" fillId="0" borderId="52" xfId="0" applyNumberFormat="1" applyFont="1" applyBorder="1" applyAlignment="1" applyProtection="1">
      <alignment horizontal="right"/>
      <protection hidden="1"/>
    </xf>
    <xf numFmtId="0" fontId="178" fillId="0" borderId="3" xfId="0" applyFont="1" applyBorder="1" applyAlignment="1" applyProtection="1">
      <alignment horizontal="center" vertical="center"/>
      <protection hidden="1"/>
    </xf>
    <xf numFmtId="186" fontId="73" fillId="0" borderId="52" xfId="0" applyNumberFormat="1" applyFont="1" applyBorder="1" applyProtection="1">
      <protection hidden="1"/>
    </xf>
    <xf numFmtId="0" fontId="44" fillId="0" borderId="25" xfId="0" applyFont="1" applyBorder="1" applyAlignment="1" applyProtection="1">
      <alignment horizontal="center" vertical="center"/>
      <protection hidden="1"/>
    </xf>
    <xf numFmtId="0" fontId="44" fillId="0" borderId="187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alignment horizontal="left" vertical="center"/>
      <protection hidden="1"/>
    </xf>
    <xf numFmtId="186" fontId="73" fillId="0" borderId="26" xfId="0" applyNumberFormat="1" applyFont="1" applyBorder="1" applyProtection="1">
      <protection hidden="1"/>
    </xf>
    <xf numFmtId="0" fontId="112" fillId="18" borderId="12" xfId="0" applyFont="1" applyFill="1" applyBorder="1" applyAlignment="1" applyProtection="1">
      <alignment horizontal="center" vertical="center" wrapText="1"/>
      <protection hidden="1"/>
    </xf>
    <xf numFmtId="0" fontId="112" fillId="18" borderId="91" xfId="0" applyFont="1" applyFill="1" applyBorder="1" applyAlignment="1" applyProtection="1">
      <alignment horizontal="center" vertical="center" wrapText="1"/>
      <protection hidden="1"/>
    </xf>
    <xf numFmtId="0" fontId="112" fillId="18" borderId="20" xfId="0" applyFont="1" applyFill="1" applyBorder="1" applyAlignment="1" applyProtection="1">
      <alignment horizontal="center" vertical="center" wrapText="1"/>
      <protection hidden="1"/>
    </xf>
    <xf numFmtId="1" fontId="199" fillId="0" borderId="91" xfId="0" applyNumberFormat="1" applyFont="1" applyBorder="1" applyAlignment="1" applyProtection="1">
      <alignment horizontal="center" vertical="center"/>
      <protection hidden="1"/>
    </xf>
    <xf numFmtId="193" fontId="200" fillId="0" borderId="91" xfId="0" applyNumberFormat="1" applyFont="1" applyBorder="1" applyAlignment="1" applyProtection="1">
      <alignment vertical="center"/>
      <protection hidden="1"/>
    </xf>
    <xf numFmtId="193" fontId="200" fillId="0" borderId="12" xfId="0" applyNumberFormat="1" applyFont="1" applyBorder="1" applyAlignment="1" applyProtection="1">
      <alignment vertical="center"/>
      <protection hidden="1"/>
    </xf>
    <xf numFmtId="193" fontId="200" fillId="0" borderId="20" xfId="0" applyNumberFormat="1" applyFont="1" applyBorder="1" applyAlignment="1" applyProtection="1">
      <alignment vertical="center"/>
      <protection hidden="1"/>
    </xf>
    <xf numFmtId="0" fontId="81" fillId="0" borderId="78" xfId="0" applyFont="1" applyBorder="1" applyAlignment="1" applyProtection="1">
      <alignment horizontal="center" vertical="center" wrapText="1"/>
      <protection hidden="1"/>
    </xf>
    <xf numFmtId="193" fontId="200" fillId="0" borderId="78" xfId="0" applyNumberFormat="1" applyFont="1" applyBorder="1" applyAlignment="1" applyProtection="1">
      <alignment horizontal="right" vertical="center"/>
      <protection hidden="1"/>
    </xf>
    <xf numFmtId="193" fontId="200" fillId="0" borderId="86" xfId="0" applyNumberFormat="1" applyFont="1" applyBorder="1" applyAlignment="1" applyProtection="1">
      <alignment horizontal="right" vertical="center"/>
      <protection hidden="1"/>
    </xf>
    <xf numFmtId="0" fontId="81" fillId="0" borderId="12" xfId="0" applyFont="1" applyBorder="1" applyAlignment="1" applyProtection="1">
      <alignment horizontal="center" vertical="center" wrapText="1"/>
      <protection hidden="1"/>
    </xf>
    <xf numFmtId="193" fontId="200" fillId="0" borderId="91" xfId="0" applyNumberFormat="1" applyFont="1" applyBorder="1" applyAlignment="1" applyProtection="1">
      <alignment horizontal="right" vertical="center"/>
      <protection hidden="1"/>
    </xf>
    <xf numFmtId="193" fontId="200" fillId="0" borderId="12" xfId="0" applyNumberFormat="1" applyFont="1" applyBorder="1" applyAlignment="1" applyProtection="1">
      <alignment horizontal="right" vertical="center"/>
      <protection hidden="1"/>
    </xf>
    <xf numFmtId="193" fontId="200" fillId="0" borderId="20" xfId="0" applyNumberFormat="1" applyFont="1" applyBorder="1" applyAlignment="1" applyProtection="1">
      <alignment horizontal="right" vertical="center"/>
      <protection hidden="1"/>
    </xf>
    <xf numFmtId="0" fontId="44" fillId="0" borderId="25" xfId="0" applyFont="1" applyBorder="1" applyProtection="1">
      <protection hidden="1"/>
    </xf>
    <xf numFmtId="0" fontId="44" fillId="0" borderId="26" xfId="0" applyFont="1" applyBorder="1" applyProtection="1">
      <protection hidden="1"/>
    </xf>
    <xf numFmtId="0" fontId="44" fillId="0" borderId="17" xfId="0" applyFont="1" applyBorder="1" applyProtection="1">
      <protection hidden="1"/>
    </xf>
    <xf numFmtId="0" fontId="44" fillId="0" borderId="18" xfId="0" applyFont="1" applyBorder="1" applyProtection="1">
      <protection hidden="1"/>
    </xf>
    <xf numFmtId="0" fontId="44" fillId="0" borderId="19" xfId="0" applyFont="1" applyBorder="1" applyProtection="1">
      <protection hidden="1"/>
    </xf>
    <xf numFmtId="1" fontId="29" fillId="0" borderId="5" xfId="0" applyNumberFormat="1" applyFont="1" applyBorder="1" applyAlignment="1" applyProtection="1">
      <alignment horizontal="center" vertical="center"/>
      <protection hidden="1"/>
    </xf>
    <xf numFmtId="1" fontId="181" fillId="16" borderId="45" xfId="0" applyNumberFormat="1" applyFont="1" applyFill="1" applyBorder="1" applyAlignment="1" applyProtection="1">
      <alignment horizontal="center" vertical="center"/>
      <protection hidden="1"/>
    </xf>
    <xf numFmtId="175" fontId="206" fillId="0" borderId="12" xfId="0" applyNumberFormat="1" applyFont="1" applyBorder="1" applyAlignment="1" applyProtection="1">
      <alignment horizontal="right" vertical="center"/>
      <protection hidden="1"/>
    </xf>
    <xf numFmtId="175" fontId="7" fillId="16" borderId="12" xfId="0" applyNumberFormat="1" applyFont="1" applyFill="1" applyBorder="1" applyAlignment="1" applyProtection="1">
      <alignment horizontal="right" vertical="center"/>
      <protection hidden="1"/>
    </xf>
    <xf numFmtId="175" fontId="7" fillId="18" borderId="12" xfId="0" applyNumberFormat="1" applyFont="1" applyFill="1" applyBorder="1" applyAlignment="1" applyProtection="1">
      <alignment horizontal="right" vertical="center"/>
      <protection hidden="1"/>
    </xf>
    <xf numFmtId="175" fontId="206" fillId="15" borderId="12" xfId="0" applyNumberFormat="1" applyFont="1" applyFill="1" applyBorder="1" applyAlignment="1" applyProtection="1">
      <alignment horizontal="right" vertical="center"/>
      <protection hidden="1"/>
    </xf>
    <xf numFmtId="175" fontId="7" fillId="15" borderId="12" xfId="0" applyNumberFormat="1" applyFont="1" applyFill="1" applyBorder="1" applyAlignment="1" applyProtection="1">
      <alignment horizontal="right" vertical="center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30" fillId="2" borderId="12" xfId="0" applyFont="1" applyFill="1" applyBorder="1" applyAlignment="1" applyProtection="1">
      <alignment horizontal="center" vertical="center" wrapText="1"/>
      <protection hidden="1"/>
    </xf>
    <xf numFmtId="0" fontId="163" fillId="16" borderId="67" xfId="7" applyFont="1" applyFill="1" applyBorder="1" applyAlignment="1" applyProtection="1">
      <alignment vertical="center"/>
      <protection hidden="1"/>
    </xf>
    <xf numFmtId="1" fontId="13" fillId="18" borderId="12" xfId="3" applyNumberFormat="1" applyFont="1" applyFill="1" applyBorder="1" applyAlignment="1" applyProtection="1">
      <alignment horizontal="right" vertical="center"/>
      <protection hidden="1"/>
    </xf>
    <xf numFmtId="0" fontId="178" fillId="0" borderId="0" xfId="0" applyFont="1" applyAlignment="1">
      <alignment horizontal="right" vertical="center"/>
    </xf>
    <xf numFmtId="0" fontId="175" fillId="0" borderId="0" xfId="0" applyFont="1" applyAlignment="1">
      <alignment horizontal="right" vertical="center"/>
    </xf>
    <xf numFmtId="164" fontId="208" fillId="0" borderId="61" xfId="0" applyNumberFormat="1" applyFont="1" applyBorder="1" applyAlignment="1">
      <alignment vertical="center"/>
    </xf>
    <xf numFmtId="164" fontId="208" fillId="0" borderId="12" xfId="0" applyNumberFormat="1" applyFont="1" applyBorder="1" applyAlignment="1">
      <alignment vertical="center"/>
    </xf>
    <xf numFmtId="170" fontId="13" fillId="0" borderId="0" xfId="0" applyNumberFormat="1" applyFont="1" applyAlignment="1" applyProtection="1">
      <alignment horizontal="center" vertical="center"/>
      <protection hidden="1"/>
    </xf>
    <xf numFmtId="0" fontId="209" fillId="0" borderId="12" xfId="0" applyFont="1" applyBorder="1" applyAlignment="1">
      <alignment horizontal="center" vertical="center"/>
    </xf>
    <xf numFmtId="0" fontId="195" fillId="0" borderId="12" xfId="0" applyFont="1" applyBorder="1" applyAlignment="1">
      <alignment horizontal="left" vertical="center"/>
    </xf>
    <xf numFmtId="194" fontId="145" fillId="0" borderId="12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right" vertical="center"/>
    </xf>
    <xf numFmtId="1" fontId="61" fillId="0" borderId="5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175" fontId="206" fillId="0" borderId="0" xfId="0" applyNumberFormat="1" applyFont="1" applyAlignment="1" applyProtection="1">
      <alignment horizontal="right" vertical="center"/>
      <protection hidden="1"/>
    </xf>
    <xf numFmtId="175" fontId="7" fillId="0" borderId="0" xfId="0" applyNumberFormat="1" applyFont="1" applyAlignment="1" applyProtection="1">
      <alignment horizontal="right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175" fontId="206" fillId="30" borderId="12" xfId="0" applyNumberFormat="1" applyFont="1" applyFill="1" applyBorder="1" applyAlignment="1" applyProtection="1">
      <alignment horizontal="right" vertical="center"/>
      <protection hidden="1"/>
    </xf>
    <xf numFmtId="175" fontId="7" fillId="30" borderId="12" xfId="0" applyNumberFormat="1" applyFont="1" applyFill="1" applyBorder="1" applyAlignment="1" applyProtection="1">
      <alignment horizontal="right" vertical="center"/>
      <protection hidden="1"/>
    </xf>
    <xf numFmtId="164" fontId="23" fillId="2" borderId="12" xfId="0" applyNumberFormat="1" applyFont="1" applyFill="1" applyBorder="1" applyAlignment="1" applyProtection="1">
      <alignment horizontal="right" vertical="center"/>
      <protection hidden="1"/>
    </xf>
    <xf numFmtId="0" fontId="13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75" fillId="0" borderId="0" xfId="0" applyFont="1" applyAlignment="1" applyProtection="1">
      <alignment vertical="center" wrapText="1"/>
      <protection hidden="1"/>
    </xf>
    <xf numFmtId="0" fontId="54" fillId="0" borderId="25" xfId="0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1" fontId="13" fillId="0" borderId="9" xfId="0" applyNumberFormat="1" applyFont="1" applyBorder="1" applyAlignment="1" applyProtection="1">
      <alignment horizontal="left" vertical="center"/>
      <protection locked="0"/>
    </xf>
    <xf numFmtId="0" fontId="39" fillId="32" borderId="51" xfId="6" applyFont="1" applyFill="1" applyBorder="1" applyAlignment="1" applyProtection="1">
      <alignment horizontal="center" vertical="center"/>
      <protection locked="0"/>
    </xf>
    <xf numFmtId="0" fontId="13" fillId="32" borderId="43" xfId="0" applyFont="1" applyFill="1" applyBorder="1" applyAlignment="1" applyProtection="1">
      <alignment horizontal="left" vertical="center"/>
      <protection hidden="1"/>
    </xf>
    <xf numFmtId="0" fontId="13" fillId="32" borderId="44" xfId="0" applyFont="1" applyFill="1" applyBorder="1" applyAlignment="1" applyProtection="1">
      <alignment horizontal="left" vertical="center"/>
      <protection hidden="1"/>
    </xf>
    <xf numFmtId="0" fontId="29" fillId="32" borderId="51" xfId="6" applyFont="1" applyFill="1" applyBorder="1" applyAlignment="1" applyProtection="1">
      <alignment horizontal="center" vertical="center"/>
      <protection locked="0"/>
    </xf>
    <xf numFmtId="0" fontId="32" fillId="32" borderId="43" xfId="0" applyFont="1" applyFill="1" applyBorder="1" applyAlignment="1" applyProtection="1">
      <alignment horizontal="left" vertical="center"/>
      <protection hidden="1"/>
    </xf>
    <xf numFmtId="0" fontId="29" fillId="32" borderId="51" xfId="0" applyFont="1" applyFill="1" applyBorder="1" applyAlignment="1" applyProtection="1">
      <alignment horizontal="center" vertical="center"/>
      <protection locked="0"/>
    </xf>
    <xf numFmtId="0" fontId="13" fillId="32" borderId="43" xfId="0" applyFont="1" applyFill="1" applyBorder="1" applyAlignment="1" applyProtection="1">
      <alignment vertical="center"/>
      <protection hidden="1"/>
    </xf>
    <xf numFmtId="0" fontId="13" fillId="32" borderId="44" xfId="0" applyFont="1" applyFill="1" applyBorder="1" applyAlignment="1" applyProtection="1">
      <alignment vertical="center"/>
      <protection hidden="1"/>
    </xf>
    <xf numFmtId="0" fontId="9" fillId="4" borderId="12" xfId="6" applyFill="1" applyBorder="1" applyAlignment="1" applyProtection="1">
      <alignment horizontal="left"/>
      <protection hidden="1"/>
    </xf>
    <xf numFmtId="0" fontId="13" fillId="4" borderId="12" xfId="0" applyFont="1" applyFill="1" applyBorder="1" applyAlignment="1" applyProtection="1">
      <alignment horizontal="left" vertical="center"/>
      <protection hidden="1"/>
    </xf>
    <xf numFmtId="0" fontId="133" fillId="4" borderId="12" xfId="6" applyFont="1" applyFill="1" applyBorder="1" applyAlignment="1" applyProtection="1">
      <alignment vertical="center"/>
      <protection hidden="1"/>
    </xf>
    <xf numFmtId="0" fontId="17" fillId="4" borderId="12" xfId="6" applyFont="1" applyFill="1" applyBorder="1" applyAlignment="1" applyProtection="1">
      <alignment horizontal="left" vertical="center"/>
      <protection hidden="1"/>
    </xf>
    <xf numFmtId="186" fontId="150" fillId="4" borderId="12" xfId="0" applyNumberFormat="1" applyFont="1" applyFill="1" applyBorder="1" applyAlignment="1" applyProtection="1">
      <alignment horizontal="center" vertical="center"/>
      <protection hidden="1"/>
    </xf>
    <xf numFmtId="0" fontId="133" fillId="4" borderId="12" xfId="6" applyFont="1" applyFill="1" applyBorder="1" applyProtection="1">
      <protection hidden="1"/>
    </xf>
    <xf numFmtId="0" fontId="17" fillId="4" borderId="12" xfId="6" applyFont="1" applyFill="1" applyBorder="1" applyAlignment="1" applyProtection="1">
      <alignment horizontal="left"/>
      <protection hidden="1"/>
    </xf>
    <xf numFmtId="0" fontId="12" fillId="4" borderId="0" xfId="0" applyFont="1" applyFill="1" applyAlignment="1" applyProtection="1">
      <alignment vertical="center"/>
      <protection hidden="1"/>
    </xf>
    <xf numFmtId="186" fontId="50" fillId="0" borderId="42" xfId="0" applyNumberFormat="1" applyFont="1" applyBorder="1" applyAlignment="1" applyProtection="1">
      <alignment vertical="center"/>
      <protection hidden="1"/>
    </xf>
    <xf numFmtId="186" fontId="50" fillId="0" borderId="32" xfId="0" applyNumberFormat="1" applyFont="1" applyBorder="1" applyAlignment="1" applyProtection="1">
      <alignment vertical="center"/>
      <protection hidden="1"/>
    </xf>
    <xf numFmtId="0" fontId="30" fillId="2" borderId="41" xfId="0" applyFont="1" applyFill="1" applyBorder="1" applyAlignment="1" applyProtection="1">
      <alignment horizontal="center" vertical="center" wrapText="1"/>
      <protection hidden="1"/>
    </xf>
    <xf numFmtId="0" fontId="203" fillId="4" borderId="188" xfId="6" applyFont="1" applyFill="1" applyBorder="1" applyAlignment="1" applyProtection="1">
      <alignment horizontal="center" vertical="center" wrapText="1"/>
      <protection hidden="1"/>
    </xf>
    <xf numFmtId="0" fontId="203" fillId="4" borderId="188" xfId="6" applyFont="1" applyFill="1" applyBorder="1" applyAlignment="1" applyProtection="1">
      <alignment horizontal="center" vertical="center"/>
      <protection hidden="1"/>
    </xf>
    <xf numFmtId="9" fontId="220" fillId="0" borderId="46" xfId="0" applyNumberFormat="1" applyFont="1" applyBorder="1" applyAlignment="1" applyProtection="1">
      <alignment horizontal="right" vertical="center"/>
      <protection locked="0"/>
    </xf>
    <xf numFmtId="0" fontId="56" fillId="0" borderId="0" xfId="1" applyFont="1" applyAlignment="1" applyProtection="1">
      <alignment vertical="center"/>
      <protection hidden="1"/>
    </xf>
    <xf numFmtId="0" fontId="138" fillId="20" borderId="173" xfId="0" applyFont="1" applyFill="1" applyBorder="1" applyAlignment="1" applyProtection="1">
      <alignment horizontal="center" vertical="center"/>
      <protection hidden="1"/>
    </xf>
    <xf numFmtId="10" fontId="13" fillId="0" borderId="5" xfId="2" applyNumberFormat="1" applyFont="1" applyBorder="1"/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86" fontId="5" fillId="0" borderId="5" xfId="0" applyNumberFormat="1" applyFont="1" applyBorder="1" applyAlignment="1" applyProtection="1">
      <alignment horizontal="right" vertical="center"/>
      <protection locked="0"/>
    </xf>
    <xf numFmtId="186" fontId="5" fillId="0" borderId="32" xfId="0" applyNumberFormat="1" applyFont="1" applyBorder="1" applyAlignment="1" applyProtection="1">
      <alignment horizontal="right" vertical="center"/>
      <protection locked="0"/>
    </xf>
    <xf numFmtId="186" fontId="5" fillId="0" borderId="32" xfId="9" applyNumberFormat="1" applyFont="1" applyBorder="1" applyAlignment="1" applyProtection="1">
      <alignment horizontal="right" vertical="center"/>
      <protection locked="0"/>
    </xf>
    <xf numFmtId="0" fontId="5" fillId="4" borderId="0" xfId="6" applyFont="1" applyFill="1" applyAlignment="1" applyProtection="1">
      <alignment vertical="center"/>
      <protection hidden="1"/>
    </xf>
    <xf numFmtId="0" fontId="5" fillId="4" borderId="0" xfId="6" applyFont="1" applyFill="1" applyProtection="1">
      <protection hidden="1"/>
    </xf>
    <xf numFmtId="0" fontId="5" fillId="3" borderId="41" xfId="0" applyFont="1" applyFill="1" applyBorder="1" applyAlignment="1" applyProtection="1">
      <alignment horizontal="left" vertical="center"/>
      <protection hidden="1"/>
    </xf>
    <xf numFmtId="0" fontId="5" fillId="3" borderId="5" xfId="0" applyFont="1" applyFill="1" applyBorder="1" applyAlignment="1" applyProtection="1">
      <alignment horizontal="left" vertical="center"/>
      <protection hidden="1"/>
    </xf>
    <xf numFmtId="176" fontId="5" fillId="0" borderId="32" xfId="9" applyNumberFormat="1" applyFont="1" applyBorder="1" applyAlignment="1" applyProtection="1">
      <alignment horizontal="right" vertical="center"/>
      <protection locked="0"/>
    </xf>
    <xf numFmtId="0" fontId="5" fillId="4" borderId="40" xfId="0" applyFont="1" applyFill="1" applyBorder="1" applyProtection="1">
      <protection hidden="1"/>
    </xf>
    <xf numFmtId="186" fontId="5" fillId="0" borderId="45" xfId="0" applyNumberFormat="1" applyFont="1" applyBorder="1" applyAlignment="1" applyProtection="1">
      <alignment horizontal="right" vertical="center"/>
      <protection locked="0"/>
    </xf>
    <xf numFmtId="186" fontId="5" fillId="0" borderId="46" xfId="0" applyNumberFormat="1" applyFont="1" applyBorder="1" applyAlignment="1" applyProtection="1">
      <alignment horizontal="right" vertical="center"/>
      <protection locked="0"/>
    </xf>
    <xf numFmtId="175" fontId="5" fillId="16" borderId="5" xfId="7" applyNumberFormat="1" applyFont="1" applyFill="1" applyBorder="1" applyAlignment="1" applyProtection="1">
      <protection hidden="1"/>
    </xf>
    <xf numFmtId="0" fontId="5" fillId="16" borderId="5" xfId="7" applyFont="1" applyFill="1" applyBorder="1" applyAlignment="1" applyProtection="1">
      <alignment vertical="center"/>
      <protection hidden="1"/>
    </xf>
    <xf numFmtId="0" fontId="5" fillId="16" borderId="5" xfId="7" applyFont="1" applyFill="1" applyBorder="1" applyAlignment="1" applyProtection="1">
      <protection hidden="1"/>
    </xf>
    <xf numFmtId="0" fontId="5" fillId="2" borderId="70" xfId="7" applyFont="1" applyFill="1" applyBorder="1" applyAlignment="1" applyProtection="1">
      <protection hidden="1"/>
    </xf>
    <xf numFmtId="186" fontId="5" fillId="0" borderId="52" xfId="0" applyNumberFormat="1" applyFont="1" applyBorder="1" applyAlignment="1" applyProtection="1">
      <alignment horizontal="right" vertical="center"/>
      <protection locked="0"/>
    </xf>
    <xf numFmtId="0" fontId="5" fillId="4" borderId="48" xfId="6" applyFont="1" applyFill="1" applyBorder="1" applyProtection="1">
      <protection hidden="1"/>
    </xf>
    <xf numFmtId="186" fontId="5" fillId="25" borderId="52" xfId="0" applyNumberFormat="1" applyFont="1" applyFill="1" applyBorder="1" applyAlignment="1" applyProtection="1">
      <alignment horizontal="right" vertical="center"/>
      <protection hidden="1"/>
    </xf>
    <xf numFmtId="186" fontId="5" fillId="0" borderId="52" xfId="0" applyNumberFormat="1" applyFont="1" applyBorder="1" applyAlignment="1" applyProtection="1">
      <alignment horizontal="right" vertical="center"/>
      <protection hidden="1"/>
    </xf>
    <xf numFmtId="0" fontId="5" fillId="4" borderId="12" xfId="0" applyFont="1" applyFill="1" applyBorder="1" applyAlignment="1" applyProtection="1">
      <alignment horizontal="left" vertical="center"/>
      <protection hidden="1"/>
    </xf>
    <xf numFmtId="0" fontId="5" fillId="4" borderId="0" xfId="0" applyFont="1" applyFill="1" applyProtection="1">
      <protection hidden="1"/>
    </xf>
    <xf numFmtId="171" fontId="5" fillId="4" borderId="12" xfId="0" applyNumberFormat="1" applyFont="1" applyFill="1" applyBorder="1" applyAlignment="1" applyProtection="1">
      <alignment horizontal="center" vertical="center"/>
      <protection hidden="1"/>
    </xf>
    <xf numFmtId="170" fontId="5" fillId="4" borderId="12" xfId="0" applyNumberFormat="1" applyFont="1" applyFill="1" applyBorder="1" applyAlignment="1" applyProtection="1">
      <alignment horizontal="center" vertical="center"/>
      <protection hidden="1"/>
    </xf>
    <xf numFmtId="186" fontId="5" fillId="0" borderId="175" xfId="0" applyNumberFormat="1" applyFont="1" applyBorder="1" applyAlignment="1" applyProtection="1">
      <alignment horizontal="right" vertical="center"/>
      <protection locked="0"/>
    </xf>
    <xf numFmtId="0" fontId="7" fillId="0" borderId="0" xfId="3" applyFont="1" applyProtection="1">
      <protection hidden="1"/>
    </xf>
    <xf numFmtId="0" fontId="5" fillId="18" borderId="56" xfId="3" applyFont="1" applyFill="1" applyBorder="1" applyAlignment="1" applyProtection="1">
      <alignment horizontal="left" vertical="center"/>
      <protection hidden="1"/>
    </xf>
    <xf numFmtId="0" fontId="7" fillId="18" borderId="9" xfId="3" applyFont="1" applyFill="1" applyBorder="1" applyAlignment="1" applyProtection="1">
      <alignment vertical="center"/>
      <protection hidden="1"/>
    </xf>
    <xf numFmtId="0" fontId="7" fillId="18" borderId="9" xfId="3" applyFont="1" applyFill="1" applyBorder="1" applyAlignment="1" applyProtection="1">
      <alignment horizontal="right" vertical="center"/>
      <protection hidden="1"/>
    </xf>
    <xf numFmtId="0" fontId="5" fillId="18" borderId="57" xfId="3" applyFont="1" applyFill="1" applyBorder="1" applyAlignment="1" applyProtection="1">
      <alignment horizontal="left" vertical="center"/>
      <protection hidden="1"/>
    </xf>
    <xf numFmtId="0" fontId="7" fillId="18" borderId="18" xfId="3" applyFont="1" applyFill="1" applyBorder="1" applyAlignment="1" applyProtection="1">
      <alignment vertical="center"/>
      <protection hidden="1"/>
    </xf>
    <xf numFmtId="0" fontId="7" fillId="18" borderId="18" xfId="3" applyFont="1" applyFill="1" applyBorder="1" applyAlignment="1" applyProtection="1">
      <alignment horizontal="right" vertical="center"/>
      <protection hidden="1"/>
    </xf>
    <xf numFmtId="1" fontId="5" fillId="0" borderId="12" xfId="0" applyNumberFormat="1" applyFont="1" applyBorder="1" applyAlignment="1" applyProtection="1">
      <alignment horizontal="right" vertical="center"/>
      <protection locked="0" hidden="1"/>
    </xf>
    <xf numFmtId="1" fontId="7" fillId="0" borderId="0" xfId="2" applyNumberFormat="1" applyFont="1" applyProtection="1">
      <protection hidden="1"/>
    </xf>
    <xf numFmtId="1" fontId="5" fillId="18" borderId="12" xfId="3" applyNumberFormat="1" applyFont="1" applyFill="1" applyBorder="1" applyAlignment="1" applyProtection="1">
      <alignment horizontal="right" vertical="center"/>
      <protection hidden="1"/>
    </xf>
    <xf numFmtId="0" fontId="5" fillId="0" borderId="19" xfId="3" applyFont="1" applyBorder="1" applyProtection="1">
      <protection hidden="1"/>
    </xf>
    <xf numFmtId="1" fontId="5" fillId="0" borderId="12" xfId="0" applyNumberFormat="1" applyFont="1" applyBorder="1" applyAlignment="1" applyProtection="1">
      <alignment horizontal="right" vertical="center"/>
      <protection hidden="1"/>
    </xf>
    <xf numFmtId="0" fontId="5" fillId="0" borderId="12" xfId="0" applyFont="1" applyBorder="1" applyAlignment="1" applyProtection="1">
      <alignment horizontal="right" vertical="center"/>
      <protection hidden="1"/>
    </xf>
    <xf numFmtId="1" fontId="5" fillId="0" borderId="12" xfId="3" applyNumberFormat="1" applyFont="1" applyBorder="1" applyAlignment="1" applyProtection="1">
      <alignment horizontal="right" vertical="center"/>
      <protection hidden="1"/>
    </xf>
    <xf numFmtId="1" fontId="5" fillId="0" borderId="12" xfId="3" applyNumberFormat="1" applyFont="1" applyBorder="1" applyAlignment="1" applyProtection="1">
      <alignment horizontal="right" vertical="center"/>
      <protection locked="0" hidden="1"/>
    </xf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5" fillId="0" borderId="0" xfId="5" applyNumberFormat="1" applyFont="1" applyAlignment="1" applyProtection="1">
      <alignment horizontal="right"/>
      <protection hidden="1"/>
    </xf>
    <xf numFmtId="0" fontId="5" fillId="0" borderId="0" xfId="1" applyFont="1" applyAlignment="1" applyProtection="1">
      <alignment horizontal="right"/>
      <protection hidden="1"/>
    </xf>
    <xf numFmtId="0" fontId="5" fillId="0" borderId="5" xfId="1" applyFont="1" applyBorder="1" applyAlignment="1" applyProtection="1">
      <alignment horizontal="right" vertical="center"/>
      <protection hidden="1"/>
    </xf>
    <xf numFmtId="186" fontId="5" fillId="0" borderId="4" xfId="5" applyNumberFormat="1" applyFont="1" applyFill="1" applyBorder="1" applyAlignment="1" applyProtection="1">
      <alignment horizontal="right" vertical="center"/>
      <protection hidden="1"/>
    </xf>
    <xf numFmtId="186" fontId="5" fillId="0" borderId="32" xfId="1" applyNumberFormat="1" applyFont="1" applyBorder="1" applyAlignment="1" applyProtection="1">
      <alignment horizontal="right"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0" fontId="5" fillId="0" borderId="28" xfId="1" applyFont="1" applyBorder="1" applyProtection="1">
      <protection hidden="1"/>
    </xf>
    <xf numFmtId="0" fontId="5" fillId="0" borderId="3" xfId="1" applyFont="1" applyBorder="1" applyProtection="1">
      <protection hidden="1"/>
    </xf>
    <xf numFmtId="0" fontId="5" fillId="0" borderId="31" xfId="1" applyFont="1" applyBorder="1" applyProtection="1">
      <protection hidden="1"/>
    </xf>
    <xf numFmtId="0" fontId="5" fillId="0" borderId="4" xfId="1" applyFont="1" applyBorder="1" applyProtection="1">
      <protection hidden="1"/>
    </xf>
    <xf numFmtId="186" fontId="5" fillId="0" borderId="5" xfId="5" applyNumberFormat="1" applyFont="1" applyFill="1" applyBorder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5" fillId="0" borderId="54" xfId="1" applyFont="1" applyBorder="1" applyProtection="1">
      <protection hidden="1"/>
    </xf>
    <xf numFmtId="0" fontId="7" fillId="12" borderId="4" xfId="1" applyFont="1" applyFill="1" applyBorder="1" applyAlignment="1" applyProtection="1">
      <alignment vertical="center"/>
      <protection hidden="1"/>
    </xf>
    <xf numFmtId="186" fontId="5" fillId="0" borderId="32" xfId="5" applyNumberFormat="1" applyFont="1" applyFill="1" applyBorder="1" applyAlignment="1" applyProtection="1">
      <alignment horizontal="right" vertical="center"/>
      <protection hidden="1"/>
    </xf>
    <xf numFmtId="186" fontId="7" fillId="0" borderId="5" xfId="1" applyNumberFormat="1" applyFont="1" applyBorder="1" applyAlignment="1" applyProtection="1">
      <alignment horizontal="right" vertical="center"/>
      <protection hidden="1"/>
    </xf>
    <xf numFmtId="1" fontId="5" fillId="0" borderId="0" xfId="1" applyNumberFormat="1" applyFont="1" applyAlignment="1" applyProtection="1">
      <alignment horizontal="right" vertical="center"/>
      <protection hidden="1"/>
    </xf>
    <xf numFmtId="186" fontId="5" fillId="0" borderId="5" xfId="1" applyNumberFormat="1" applyFont="1" applyBorder="1" applyAlignment="1" applyProtection="1">
      <alignment horizontal="right" vertical="center"/>
      <protection hidden="1"/>
    </xf>
    <xf numFmtId="0" fontId="5" fillId="0" borderId="33" xfId="1" applyFont="1" applyBorder="1" applyProtection="1">
      <protection hidden="1"/>
    </xf>
    <xf numFmtId="184" fontId="5" fillId="0" borderId="3" xfId="9" applyNumberFormat="1" applyFont="1" applyFill="1" applyBorder="1" applyAlignment="1" applyProtection="1">
      <alignment horizontal="center" vertical="center"/>
      <protection hidden="1"/>
    </xf>
    <xf numFmtId="184" fontId="5" fillId="0" borderId="4" xfId="9" applyNumberFormat="1" applyFont="1" applyFill="1" applyBorder="1" applyAlignment="1" applyProtection="1">
      <alignment horizontal="center" vertical="center"/>
      <protection hidden="1"/>
    </xf>
    <xf numFmtId="175" fontId="5" fillId="0" borderId="4" xfId="1" applyNumberFormat="1" applyFont="1" applyBorder="1" applyAlignment="1" applyProtection="1">
      <alignment horizontal="right" vertical="center"/>
      <protection hidden="1"/>
    </xf>
    <xf numFmtId="186" fontId="5" fillId="0" borderId="0" xfId="1" applyNumberFormat="1" applyFont="1" applyProtection="1">
      <protection hidden="1"/>
    </xf>
    <xf numFmtId="186" fontId="5" fillId="0" borderId="0" xfId="5" applyNumberFormat="1" applyFont="1" applyAlignment="1" applyProtection="1">
      <alignment horizontal="right" vertical="center"/>
      <protection hidden="1"/>
    </xf>
    <xf numFmtId="186" fontId="5" fillId="10" borderId="5" xfId="5" applyNumberFormat="1" applyFont="1" applyFill="1" applyBorder="1" applyAlignment="1" applyProtection="1">
      <alignment horizontal="right" vertical="center"/>
      <protection hidden="1"/>
    </xf>
    <xf numFmtId="186" fontId="5" fillId="0" borderId="14" xfId="1" applyNumberFormat="1" applyFont="1" applyBorder="1" applyAlignment="1">
      <alignment horizontal="right"/>
    </xf>
    <xf numFmtId="186" fontId="5" fillId="0" borderId="26" xfId="1" applyNumberFormat="1" applyFont="1" applyBorder="1" applyAlignment="1">
      <alignment horizontal="right"/>
    </xf>
    <xf numFmtId="0" fontId="102" fillId="19" borderId="193" xfId="0" applyFont="1" applyFill="1" applyBorder="1" applyAlignment="1">
      <alignment horizontal="right" vertical="top" wrapText="1"/>
    </xf>
    <xf numFmtId="173" fontId="102" fillId="19" borderId="196" xfId="11" applyNumberFormat="1" applyFont="1" applyFill="1" applyBorder="1" applyAlignment="1" applyProtection="1">
      <alignment horizontal="right" vertical="top" wrapText="1"/>
    </xf>
    <xf numFmtId="175" fontId="102" fillId="19" borderId="196" xfId="0" applyNumberFormat="1" applyFont="1" applyFill="1" applyBorder="1" applyAlignment="1">
      <alignment horizontal="right" vertical="center" wrapText="1"/>
    </xf>
    <xf numFmtId="0" fontId="102" fillId="19" borderId="193" xfId="0" applyFont="1" applyFill="1" applyBorder="1" applyAlignment="1">
      <alignment horizontal="right" vertical="top"/>
    </xf>
    <xf numFmtId="0" fontId="5" fillId="19" borderId="87" xfId="0" applyFont="1" applyFill="1" applyBorder="1" applyAlignment="1">
      <alignment vertical="center" wrapText="1"/>
    </xf>
    <xf numFmtId="0" fontId="5" fillId="0" borderId="0" xfId="0" applyFont="1"/>
    <xf numFmtId="0" fontId="71" fillId="2" borderId="197" xfId="0" applyFont="1" applyFill="1" applyBorder="1" applyAlignment="1" applyProtection="1">
      <alignment horizontal="center" vertical="center"/>
      <protection hidden="1"/>
    </xf>
    <xf numFmtId="0" fontId="169" fillId="2" borderId="196" xfId="0" applyFont="1" applyFill="1" applyBorder="1" applyAlignment="1" applyProtection="1">
      <alignment horizontal="center" vertical="center"/>
      <protection hidden="1"/>
    </xf>
    <xf numFmtId="0" fontId="71" fillId="2" borderId="196" xfId="0" applyFont="1" applyFill="1" applyBorder="1" applyAlignment="1" applyProtection="1">
      <alignment horizontal="center" vertical="center"/>
      <protection hidden="1"/>
    </xf>
    <xf numFmtId="0" fontId="71" fillId="2" borderId="193" xfId="0" applyFont="1" applyFill="1" applyBorder="1" applyAlignment="1" applyProtection="1">
      <alignment horizontal="center" vertical="center"/>
      <protection hidden="1"/>
    </xf>
    <xf numFmtId="0" fontId="5" fillId="29" borderId="12" xfId="0" quotePrefix="1" applyFont="1" applyFill="1" applyBorder="1" applyAlignment="1" applyProtection="1">
      <alignment horizontal="center" vertical="center" wrapText="1"/>
      <protection hidden="1"/>
    </xf>
    <xf numFmtId="0" fontId="5" fillId="22" borderId="12" xfId="0" applyFont="1" applyFill="1" applyBorder="1" applyAlignment="1" applyProtection="1">
      <alignment horizontal="center" vertical="center"/>
      <protection hidden="1"/>
    </xf>
    <xf numFmtId="0" fontId="5" fillId="15" borderId="12" xfId="0" applyFont="1" applyFill="1" applyBorder="1" applyAlignment="1" applyProtection="1">
      <alignment horizontal="center" vertical="center"/>
      <protection hidden="1"/>
    </xf>
    <xf numFmtId="0" fontId="5" fillId="16" borderId="12" xfId="0" applyFont="1" applyFill="1" applyBorder="1" applyAlignment="1" applyProtection="1">
      <alignment horizontal="center" vertical="center"/>
      <protection hidden="1"/>
    </xf>
    <xf numFmtId="0" fontId="5" fillId="30" borderId="12" xfId="0" applyFont="1" applyFill="1" applyBorder="1" applyAlignment="1" applyProtection="1">
      <alignment horizontal="center" vertical="center"/>
      <protection hidden="1"/>
    </xf>
    <xf numFmtId="0" fontId="5" fillId="0" borderId="78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78" xfId="0" applyFont="1" applyBorder="1" applyAlignment="1" applyProtection="1">
      <alignment horizontal="center" vertical="center" wrapText="1"/>
      <protection hidden="1"/>
    </xf>
    <xf numFmtId="0" fontId="5" fillId="10" borderId="18" xfId="0" applyFont="1" applyFill="1" applyBorder="1" applyAlignment="1" applyProtection="1">
      <alignment horizontal="left" vertical="center" wrapText="1"/>
      <protection hidden="1"/>
    </xf>
    <xf numFmtId="0" fontId="5" fillId="18" borderId="58" xfId="0" applyFont="1" applyFill="1" applyBorder="1" applyAlignment="1" applyProtection="1">
      <alignment horizontal="center" vertical="center"/>
      <protection hidden="1"/>
    </xf>
    <xf numFmtId="0" fontId="44" fillId="0" borderId="198" xfId="0" applyFont="1" applyBorder="1" applyAlignment="1" applyProtection="1">
      <alignment horizontal="center" vertical="center"/>
      <protection hidden="1"/>
    </xf>
    <xf numFmtId="186" fontId="73" fillId="0" borderId="199" xfId="0" applyNumberFormat="1" applyFont="1" applyBorder="1" applyAlignment="1" applyProtection="1">
      <alignment horizontal="right"/>
      <protection hidden="1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170" fontId="5" fillId="5" borderId="1" xfId="0" applyNumberFormat="1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/>
    </xf>
    <xf numFmtId="0" fontId="5" fillId="0" borderId="196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right" vertical="center"/>
      <protection hidden="1"/>
    </xf>
    <xf numFmtId="170" fontId="5" fillId="2" borderId="196" xfId="0" applyNumberFormat="1" applyFont="1" applyFill="1" applyBorder="1" applyAlignment="1" applyProtection="1">
      <alignment horizontal="center" vertical="center"/>
      <protection hidden="1"/>
    </xf>
    <xf numFmtId="0" fontId="5" fillId="2" borderId="196" xfId="0" applyFont="1" applyFill="1" applyBorder="1" applyAlignment="1" applyProtection="1">
      <alignment horizontal="center" vertical="center"/>
      <protection hidden="1"/>
    </xf>
    <xf numFmtId="187" fontId="5" fillId="0" borderId="5" xfId="0" applyNumberFormat="1" applyFont="1" applyBorder="1" applyAlignment="1" applyProtection="1">
      <alignment horizontal="center" vertical="center"/>
      <protection hidden="1"/>
    </xf>
    <xf numFmtId="187" fontId="5" fillId="0" borderId="1" xfId="0" applyNumberFormat="1" applyFont="1" applyBorder="1" applyAlignment="1" applyProtection="1">
      <alignment horizontal="right" vertical="center"/>
      <protection hidden="1"/>
    </xf>
    <xf numFmtId="1" fontId="5" fillId="0" borderId="1" xfId="0" applyNumberFormat="1" applyFont="1" applyBorder="1" applyAlignment="1" applyProtection="1">
      <alignment vertical="center"/>
      <protection hidden="1"/>
    </xf>
    <xf numFmtId="187" fontId="5" fillId="0" borderId="5" xfId="0" applyNumberFormat="1" applyFont="1" applyBorder="1" applyAlignment="1" applyProtection="1">
      <alignment horizontal="right" vertical="center"/>
      <protection hidden="1"/>
    </xf>
    <xf numFmtId="169" fontId="5" fillId="0" borderId="5" xfId="2" applyNumberFormat="1" applyFont="1" applyFill="1" applyBorder="1" applyAlignment="1" applyProtection="1">
      <alignment vertical="center"/>
      <protection hidden="1"/>
    </xf>
    <xf numFmtId="10" fontId="5" fillId="0" borderId="5" xfId="2" applyNumberFormat="1" applyFont="1" applyFill="1" applyBorder="1" applyAlignment="1" applyProtection="1">
      <alignment vertical="center"/>
      <protection hidden="1"/>
    </xf>
    <xf numFmtId="1" fontId="5" fillId="0" borderId="5" xfId="2" applyNumberFormat="1" applyFont="1" applyFill="1" applyBorder="1" applyAlignment="1" applyProtection="1">
      <alignment vertical="center"/>
      <protection hidden="1"/>
    </xf>
    <xf numFmtId="170" fontId="5" fillId="0" borderId="1" xfId="0" applyNumberFormat="1" applyFont="1" applyBorder="1" applyAlignment="1" applyProtection="1">
      <alignment horizontal="right" vertical="center"/>
      <protection hidden="1"/>
    </xf>
    <xf numFmtId="176" fontId="5" fillId="0" borderId="5" xfId="9" applyNumberFormat="1" applyFont="1" applyFill="1" applyBorder="1" applyAlignment="1" applyProtection="1">
      <alignment horizontal="right" vertical="center"/>
      <protection hidden="1"/>
    </xf>
    <xf numFmtId="176" fontId="5" fillId="0" borderId="5" xfId="0" applyNumberFormat="1" applyFont="1" applyBorder="1" applyAlignment="1" applyProtection="1">
      <alignment horizontal="right"/>
      <protection hidden="1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0" fontId="14" fillId="0" borderId="196" xfId="0" applyNumberFormat="1" applyFont="1" applyBorder="1" applyAlignment="1" applyProtection="1">
      <alignment horizontal="center" vertical="center"/>
      <protection hidden="1"/>
    </xf>
    <xf numFmtId="0" fontId="14" fillId="0" borderId="196" xfId="0" applyFont="1" applyBorder="1" applyAlignment="1" applyProtection="1">
      <alignment horizontal="center" vertical="center"/>
      <protection hidden="1"/>
    </xf>
    <xf numFmtId="10" fontId="5" fillId="0" borderId="5" xfId="0" applyNumberFormat="1" applyFont="1" applyBorder="1" applyAlignment="1" applyProtection="1">
      <alignment horizontal="right" vertical="center"/>
      <protection hidden="1"/>
    </xf>
    <xf numFmtId="183" fontId="5" fillId="2" borderId="12" xfId="0" applyNumberFormat="1" applyFont="1" applyFill="1" applyBorder="1" applyAlignment="1">
      <alignment horizontal="center" vertical="center"/>
    </xf>
    <xf numFmtId="10" fontId="5" fillId="0" borderId="196" xfId="0" applyNumberFormat="1" applyFont="1" applyBorder="1" applyAlignment="1" applyProtection="1">
      <alignment horizontal="right" vertical="center"/>
      <protection hidden="1"/>
    </xf>
    <xf numFmtId="185" fontId="5" fillId="2" borderId="12" xfId="0" applyNumberFormat="1" applyFont="1" applyFill="1" applyBorder="1" applyAlignment="1">
      <alignment horizontal="center" vertical="center"/>
    </xf>
    <xf numFmtId="170" fontId="5" fillId="3" borderId="5" xfId="0" applyNumberFormat="1" applyFont="1" applyFill="1" applyBorder="1" applyAlignment="1" applyProtection="1">
      <alignment horizontal="right" vertical="center"/>
      <protection hidden="1"/>
    </xf>
    <xf numFmtId="9" fontId="5" fillId="2" borderId="12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hidden="1"/>
    </xf>
    <xf numFmtId="170" fontId="5" fillId="2" borderId="5" xfId="0" applyNumberFormat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84" fontId="5" fillId="0" borderId="0" xfId="0" applyNumberFormat="1" applyFont="1" applyAlignment="1">
      <alignment vertical="center"/>
    </xf>
    <xf numFmtId="187" fontId="5" fillId="0" borderId="0" xfId="0" applyNumberFormat="1" applyFont="1" applyAlignment="1" applyProtection="1">
      <alignment horizontal="center" vertical="center"/>
      <protection hidden="1"/>
    </xf>
    <xf numFmtId="184" fontId="5" fillId="0" borderId="12" xfId="0" applyNumberFormat="1" applyFont="1" applyBorder="1" applyAlignment="1">
      <alignment vertical="center"/>
    </xf>
    <xf numFmtId="185" fontId="5" fillId="0" borderId="12" xfId="0" applyNumberFormat="1" applyFont="1" applyBorder="1" applyAlignment="1">
      <alignment horizontal="center" vertical="center"/>
    </xf>
    <xf numFmtId="17" fontId="5" fillId="0" borderId="12" xfId="0" applyNumberFormat="1" applyFont="1" applyBorder="1" applyAlignment="1">
      <alignment horizontal="center" vertical="center"/>
    </xf>
    <xf numFmtId="14" fontId="5" fillId="0" borderId="12" xfId="1" applyNumberFormat="1" applyFont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center" vertical="center"/>
    </xf>
    <xf numFmtId="0" fontId="5" fillId="0" borderId="5" xfId="1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4" fontId="5" fillId="0" borderId="0" xfId="0" applyNumberFormat="1" applyFont="1" applyAlignment="1" applyProtection="1">
      <alignment horizontal="right" vertical="center"/>
      <protection hidden="1"/>
    </xf>
    <xf numFmtId="184" fontId="5" fillId="0" borderId="0" xfId="0" applyNumberFormat="1" applyFont="1" applyProtection="1">
      <protection hidden="1"/>
    </xf>
    <xf numFmtId="176" fontId="5" fillId="0" borderId="6" xfId="9" applyNumberFormat="1" applyFont="1" applyFill="1" applyBorder="1" applyAlignment="1" applyProtection="1">
      <alignment horizontal="right" vertical="center"/>
      <protection hidden="1"/>
    </xf>
    <xf numFmtId="174" fontId="5" fillId="0" borderId="0" xfId="2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 applyProtection="1">
      <alignment horizontal="left" vertical="center"/>
      <protection hidden="1"/>
    </xf>
    <xf numFmtId="0" fontId="7" fillId="14" borderId="3" xfId="0" applyFont="1" applyFill="1" applyBorder="1" applyAlignment="1" applyProtection="1">
      <alignment horizontal="left"/>
      <protection hidden="1"/>
    </xf>
    <xf numFmtId="0" fontId="5" fillId="15" borderId="5" xfId="0" applyFont="1" applyFill="1" applyBorder="1" applyProtection="1">
      <protection hidden="1"/>
    </xf>
    <xf numFmtId="38" fontId="5" fillId="15" borderId="5" xfId="0" applyNumberFormat="1" applyFont="1" applyFill="1" applyBorder="1" applyAlignment="1" applyProtection="1">
      <alignment horizontal="right" vertical="center"/>
      <protection hidden="1"/>
    </xf>
    <xf numFmtId="0" fontId="7" fillId="15" borderId="5" xfId="0" applyFont="1" applyFill="1" applyBorder="1" applyAlignment="1" applyProtection="1">
      <alignment horizontal="left" vertical="center"/>
      <protection hidden="1"/>
    </xf>
    <xf numFmtId="0" fontId="5" fillId="5" borderId="0" xfId="0" applyFont="1" applyFill="1" applyProtection="1">
      <protection hidden="1"/>
    </xf>
    <xf numFmtId="187" fontId="5" fillId="2" borderId="1" xfId="0" applyNumberFormat="1" applyFont="1" applyFill="1" applyBorder="1" applyAlignment="1" applyProtection="1">
      <alignment horizontal="right" vertical="center"/>
      <protection hidden="1"/>
    </xf>
    <xf numFmtId="1" fontId="5" fillId="2" borderId="1" xfId="0" applyNumberFormat="1" applyFont="1" applyFill="1" applyBorder="1" applyAlignment="1" applyProtection="1">
      <alignment vertical="center"/>
      <protection hidden="1"/>
    </xf>
    <xf numFmtId="187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1" fontId="5" fillId="2" borderId="1" xfId="0" applyNumberFormat="1" applyFont="1" applyFill="1" applyBorder="1" applyAlignment="1" applyProtection="1">
      <alignment horizontal="center" vertical="center"/>
      <protection hidden="1"/>
    </xf>
    <xf numFmtId="171" fontId="5" fillId="0" borderId="0" xfId="0" applyNumberFormat="1" applyFont="1" applyAlignment="1" applyProtection="1">
      <alignment horizontal="center" vertical="center"/>
      <protection hidden="1"/>
    </xf>
    <xf numFmtId="1" fontId="5" fillId="0" borderId="0" xfId="0" applyNumberFormat="1" applyFont="1" applyProtection="1">
      <protection hidden="1"/>
    </xf>
    <xf numFmtId="187" fontId="5" fillId="3" borderId="0" xfId="0" applyNumberFormat="1" applyFont="1" applyFill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5" xfId="0" applyFont="1" applyBorder="1" applyProtection="1">
      <protection hidden="1"/>
    </xf>
    <xf numFmtId="0" fontId="5" fillId="4" borderId="167" xfId="0" applyFont="1" applyFill="1" applyBorder="1" applyProtection="1">
      <protection hidden="1"/>
    </xf>
    <xf numFmtId="0" fontId="5" fillId="0" borderId="168" xfId="0" applyFont="1" applyBorder="1" applyProtection="1">
      <protection hidden="1"/>
    </xf>
    <xf numFmtId="0" fontId="5" fillId="0" borderId="166" xfId="0" applyFont="1" applyBorder="1" applyAlignment="1" applyProtection="1">
      <alignment horizontal="center" vertical="center"/>
      <protection hidden="1"/>
    </xf>
    <xf numFmtId="0" fontId="5" fillId="0" borderId="166" xfId="0" applyFont="1" applyBorder="1" applyProtection="1">
      <protection hidden="1"/>
    </xf>
    <xf numFmtId="0" fontId="5" fillId="4" borderId="165" xfId="0" applyFont="1" applyFill="1" applyBorder="1" applyProtection="1">
      <protection hidden="1"/>
    </xf>
    <xf numFmtId="0" fontId="5" fillId="0" borderId="165" xfId="0" applyFont="1" applyBorder="1" applyProtection="1">
      <protection hidden="1"/>
    </xf>
    <xf numFmtId="0" fontId="5" fillId="0" borderId="165" xfId="0" applyFont="1" applyBorder="1"/>
    <xf numFmtId="0" fontId="5" fillId="0" borderId="165" xfId="0" applyFont="1" applyBorder="1" applyAlignment="1" applyProtection="1">
      <alignment horizontal="center"/>
      <protection hidden="1"/>
    </xf>
    <xf numFmtId="0" fontId="5" fillId="0" borderId="165" xfId="0" applyFont="1" applyBorder="1" applyAlignment="1">
      <alignment vertical="center"/>
    </xf>
    <xf numFmtId="0" fontId="5" fillId="4" borderId="0" xfId="0" applyFont="1" applyFill="1"/>
    <xf numFmtId="0" fontId="5" fillId="4" borderId="0" xfId="0" applyFont="1" applyFill="1" applyAlignment="1" applyProtection="1">
      <alignment horizontal="center"/>
      <protection hidden="1"/>
    </xf>
    <xf numFmtId="186" fontId="5" fillId="0" borderId="196" xfId="5" applyNumberFormat="1" applyFont="1" applyFill="1" applyBorder="1" applyAlignment="1" applyProtection="1">
      <alignment horizontal="right" vertical="center"/>
      <protection hidden="1"/>
    </xf>
    <xf numFmtId="186" fontId="12" fillId="0" borderId="193" xfId="1" applyNumberFormat="1" applyFont="1" applyBorder="1" applyAlignment="1" applyProtection="1">
      <alignment horizontal="right" vertical="center"/>
      <protection hidden="1"/>
    </xf>
    <xf numFmtId="0" fontId="5" fillId="0" borderId="195" xfId="1" applyFont="1" applyBorder="1" applyProtection="1">
      <protection hidden="1"/>
    </xf>
    <xf numFmtId="0" fontId="44" fillId="0" borderId="29" xfId="0" applyFont="1" applyBorder="1" applyAlignment="1" applyProtection="1">
      <alignment vertical="center"/>
      <protection hidden="1"/>
    </xf>
    <xf numFmtId="0" fontId="178" fillId="0" borderId="29" xfId="0" applyFont="1" applyBorder="1" applyAlignment="1" applyProtection="1">
      <alignment horizontal="center" vertical="center"/>
      <protection hidden="1"/>
    </xf>
    <xf numFmtId="171" fontId="112" fillId="0" borderId="200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213" fillId="0" borderId="138" xfId="0" applyFont="1" applyBorder="1" applyAlignment="1" applyProtection="1">
      <alignment vertical="center"/>
      <protection locked="0"/>
    </xf>
    <xf numFmtId="0" fontId="29" fillId="3" borderId="51" xfId="0" applyFont="1" applyFill="1" applyBorder="1" applyAlignment="1" applyProtection="1">
      <alignment horizontal="left" vertical="center"/>
      <protection hidden="1"/>
    </xf>
    <xf numFmtId="0" fontId="29" fillId="3" borderId="41" xfId="0" applyFont="1" applyFill="1" applyBorder="1" applyAlignment="1" applyProtection="1">
      <alignment vertical="center"/>
      <protection hidden="1"/>
    </xf>
    <xf numFmtId="0" fontId="69" fillId="0" borderId="41" xfId="0" applyFont="1" applyBorder="1" applyAlignment="1" applyProtection="1">
      <alignment horizontal="center" vertical="center"/>
      <protection hidden="1"/>
    </xf>
    <xf numFmtId="176" fontId="61" fillId="0" borderId="42" xfId="9" applyNumberFormat="1" applyFont="1" applyFill="1" applyBorder="1" applyAlignment="1" applyProtection="1">
      <alignment horizontal="right" vertical="center" indent="2"/>
      <protection hidden="1"/>
    </xf>
    <xf numFmtId="0" fontId="12" fillId="3" borderId="44" xfId="0" applyFont="1" applyFill="1" applyBorder="1" applyAlignment="1" applyProtection="1">
      <alignment vertical="center"/>
      <protection hidden="1"/>
    </xf>
    <xf numFmtId="0" fontId="19" fillId="0" borderId="45" xfId="0" applyFont="1" applyBorder="1" applyAlignment="1" applyProtection="1">
      <alignment horizontal="center" vertical="center"/>
      <protection hidden="1"/>
    </xf>
    <xf numFmtId="1" fontId="39" fillId="0" borderId="46" xfId="9" applyNumberFormat="1" applyFont="1" applyFill="1" applyBorder="1" applyAlignment="1" applyProtection="1">
      <alignment horizontal="center" vertical="center"/>
      <protection locked="0"/>
    </xf>
    <xf numFmtId="0" fontId="221" fillId="5" borderId="191" xfId="0" applyFont="1" applyFill="1" applyBorder="1" applyAlignment="1" applyProtection="1">
      <alignment horizontal="center" vertical="center"/>
      <protection hidden="1"/>
    </xf>
    <xf numFmtId="187" fontId="222" fillId="0" borderId="9" xfId="0" applyNumberFormat="1" applyFont="1" applyBorder="1" applyAlignment="1" applyProtection="1">
      <alignment horizontal="right" vertical="center"/>
      <protection hidden="1"/>
    </xf>
    <xf numFmtId="0" fontId="32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223" fillId="0" borderId="0" xfId="0" applyFont="1" applyAlignment="1" applyProtection="1">
      <alignment horizontal="center" vertical="center"/>
      <protection hidden="1"/>
    </xf>
    <xf numFmtId="187" fontId="13" fillId="0" borderId="5" xfId="0" applyNumberFormat="1" applyFont="1" applyBorder="1" applyAlignment="1" applyProtection="1">
      <alignment horizontal="right" vertical="center"/>
      <protection hidden="1"/>
    </xf>
    <xf numFmtId="187" fontId="22" fillId="0" borderId="5" xfId="0" applyNumberFormat="1" applyFont="1" applyBorder="1" applyAlignment="1" applyProtection="1">
      <alignment horizontal="right" vertical="center"/>
      <protection hidden="1"/>
    </xf>
    <xf numFmtId="187" fontId="14" fillId="0" borderId="5" xfId="0" applyNumberFormat="1" applyFont="1" applyBorder="1" applyAlignment="1" applyProtection="1">
      <alignment horizontal="right" vertical="center"/>
      <protection hidden="1"/>
    </xf>
    <xf numFmtId="10" fontId="3" fillId="0" borderId="5" xfId="2" applyNumberFormat="1" applyFont="1" applyFill="1" applyBorder="1" applyAlignment="1" applyProtection="1">
      <alignment vertical="center"/>
      <protection hidden="1"/>
    </xf>
    <xf numFmtId="10" fontId="29" fillId="0" borderId="41" xfId="2" applyNumberFormat="1" applyFont="1" applyBorder="1" applyAlignment="1" applyProtection="1">
      <alignment horizontal="center" vertical="center"/>
      <protection locked="0"/>
    </xf>
    <xf numFmtId="187" fontId="3" fillId="0" borderId="42" xfId="0" applyNumberFormat="1" applyFont="1" applyBorder="1" applyAlignment="1" applyProtection="1">
      <alignment horizontal="center" vertical="center"/>
      <protection locked="0"/>
    </xf>
    <xf numFmtId="10" fontId="224" fillId="0" borderId="5" xfId="2" applyNumberFormat="1" applyFont="1" applyBorder="1" applyAlignment="1" applyProtection="1">
      <alignment horizontal="center" vertical="center"/>
      <protection hidden="1"/>
    </xf>
    <xf numFmtId="187" fontId="5" fillId="0" borderId="32" xfId="0" applyNumberFormat="1" applyFont="1" applyBorder="1" applyAlignment="1" applyProtection="1">
      <alignment horizontal="center" vertical="center"/>
      <protection locked="0"/>
    </xf>
    <xf numFmtId="10" fontId="224" fillId="0" borderId="45" xfId="2" applyNumberFormat="1" applyFont="1" applyBorder="1" applyAlignment="1" applyProtection="1">
      <alignment horizontal="center" vertical="center"/>
      <protection hidden="1"/>
    </xf>
    <xf numFmtId="187" fontId="5" fillId="0" borderId="46" xfId="0" applyNumberFormat="1" applyFont="1" applyBorder="1" applyAlignment="1" applyProtection="1">
      <alignment horizontal="center" vertical="center"/>
      <protection locked="0"/>
    </xf>
    <xf numFmtId="0" fontId="227" fillId="27" borderId="132" xfId="0" applyFont="1" applyFill="1" applyBorder="1" applyAlignment="1" applyProtection="1">
      <alignment horizontal="center" vertical="center"/>
      <protection hidden="1"/>
    </xf>
    <xf numFmtId="1" fontId="13" fillId="0" borderId="12" xfId="0" applyNumberFormat="1" applyFont="1" applyBorder="1" applyAlignment="1" applyProtection="1">
      <alignment horizontal="right" vertical="center"/>
      <protection locked="0" hidden="1"/>
    </xf>
    <xf numFmtId="1" fontId="32" fillId="0" borderId="12" xfId="0" applyNumberFormat="1" applyFont="1" applyBorder="1" applyAlignment="1" applyProtection="1">
      <alignment horizontal="right" vertical="center"/>
      <protection locked="0" hidden="1"/>
    </xf>
    <xf numFmtId="1" fontId="2" fillId="0" borderId="12" xfId="0" applyNumberFormat="1" applyFont="1" applyBorder="1" applyAlignment="1" applyProtection="1">
      <alignment horizontal="right" vertical="center"/>
      <protection locked="0" hidden="1"/>
    </xf>
    <xf numFmtId="0" fontId="13" fillId="0" borderId="12" xfId="3" applyFont="1" applyBorder="1" applyProtection="1">
      <protection hidden="1"/>
    </xf>
    <xf numFmtId="1" fontId="13" fillId="0" borderId="12" xfId="3" applyNumberFormat="1" applyFont="1" applyBorder="1" applyAlignment="1" applyProtection="1">
      <alignment horizontal="right" vertical="center"/>
      <protection hidden="1"/>
    </xf>
    <xf numFmtId="1" fontId="13" fillId="0" borderId="12" xfId="0" applyNumberFormat="1" applyFont="1" applyBorder="1" applyAlignment="1" applyProtection="1">
      <alignment horizontal="right" vertical="center"/>
      <protection hidden="1"/>
    </xf>
    <xf numFmtId="1" fontId="13" fillId="0" borderId="12" xfId="3" applyNumberFormat="1" applyFont="1" applyBorder="1" applyAlignment="1" applyProtection="1">
      <alignment horizontal="right" vertical="center"/>
      <protection locked="0" hidden="1"/>
    </xf>
    <xf numFmtId="0" fontId="13" fillId="0" borderId="0" xfId="3" applyFont="1" applyProtection="1">
      <protection hidden="1"/>
    </xf>
    <xf numFmtId="0" fontId="32" fillId="0" borderId="12" xfId="3" applyFont="1" applyBorder="1" applyProtection="1">
      <protection hidden="1"/>
    </xf>
    <xf numFmtId="1" fontId="32" fillId="0" borderId="12" xfId="3" applyNumberFormat="1" applyFont="1" applyBorder="1" applyAlignment="1" applyProtection="1">
      <alignment horizontal="right" vertical="center"/>
      <protection locked="0" hidden="1"/>
    </xf>
    <xf numFmtId="186" fontId="228" fillId="0" borderId="0" xfId="0" applyNumberFormat="1" applyFont="1" applyAlignment="1" applyProtection="1">
      <alignment vertical="center"/>
      <protection hidden="1"/>
    </xf>
    <xf numFmtId="175" fontId="74" fillId="0" borderId="5" xfId="0" applyNumberFormat="1" applyFont="1" applyBorder="1" applyAlignment="1" applyProtection="1">
      <alignment horizontal="right" vertical="center"/>
      <protection locked="0"/>
    </xf>
    <xf numFmtId="175" fontId="74" fillId="0" borderId="45" xfId="0" applyNumberFormat="1" applyFont="1" applyBorder="1" applyAlignment="1" applyProtection="1">
      <alignment horizontal="right" vertical="center"/>
      <protection locked="0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196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21" fillId="21" borderId="42" xfId="0" applyFont="1" applyFill="1" applyBorder="1" applyAlignment="1" applyProtection="1">
      <alignment horizontal="center" vertical="center" wrapText="1"/>
      <protection hidden="1"/>
    </xf>
    <xf numFmtId="0" fontId="21" fillId="21" borderId="193" xfId="0" applyFont="1" applyFill="1" applyBorder="1" applyAlignment="1" applyProtection="1">
      <alignment horizontal="center" vertical="center" wrapText="1"/>
      <protection hidden="1"/>
    </xf>
    <xf numFmtId="0" fontId="21" fillId="21" borderId="32" xfId="0" applyFont="1" applyFill="1" applyBorder="1" applyAlignment="1" applyProtection="1">
      <alignment horizontal="center" vertical="center" wrapText="1"/>
      <protection hidden="1"/>
    </xf>
    <xf numFmtId="0" fontId="12" fillId="0" borderId="50" xfId="0" applyFont="1" applyBorder="1" applyAlignment="1" applyProtection="1">
      <alignment horizontal="left" vertical="center"/>
      <protection hidden="1"/>
    </xf>
    <xf numFmtId="0" fontId="12" fillId="0" borderId="172" xfId="0" applyFont="1" applyBorder="1" applyAlignment="1" applyProtection="1">
      <alignment horizontal="left" vertical="center"/>
      <protection hidden="1"/>
    </xf>
    <xf numFmtId="0" fontId="216" fillId="0" borderId="163" xfId="0" applyFont="1" applyBorder="1" applyAlignment="1" applyProtection="1">
      <alignment horizontal="left" vertical="center"/>
      <protection hidden="1"/>
    </xf>
    <xf numFmtId="0" fontId="216" fillId="0" borderId="164" xfId="0" applyFont="1" applyBorder="1" applyAlignment="1" applyProtection="1">
      <alignment horizontal="left" vertical="center"/>
      <protection hidden="1"/>
    </xf>
    <xf numFmtId="0" fontId="12" fillId="0" borderId="173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21" fillId="21" borderId="41" xfId="0" applyFont="1" applyFill="1" applyBorder="1" applyAlignment="1" applyProtection="1">
      <alignment horizontal="center" vertical="center" wrapText="1"/>
      <protection hidden="1"/>
    </xf>
    <xf numFmtId="0" fontId="21" fillId="21" borderId="196" xfId="0" applyFont="1" applyFill="1" applyBorder="1" applyAlignment="1" applyProtection="1">
      <alignment horizontal="center" vertical="center" wrapText="1"/>
      <protection hidden="1"/>
    </xf>
    <xf numFmtId="0" fontId="21" fillId="21" borderId="5" xfId="0" applyFont="1" applyFill="1" applyBorder="1" applyAlignment="1" applyProtection="1">
      <alignment horizontal="center" vertical="center" wrapText="1"/>
      <protection hidden="1"/>
    </xf>
    <xf numFmtId="0" fontId="175" fillId="5" borderId="139" xfId="0" applyFont="1" applyFill="1" applyBorder="1" applyAlignment="1" applyProtection="1">
      <alignment horizontal="center" vertical="center" wrapText="1"/>
      <protection hidden="1"/>
    </xf>
    <xf numFmtId="0" fontId="175" fillId="5" borderId="190" xfId="0" applyFont="1" applyFill="1" applyBorder="1" applyAlignment="1" applyProtection="1">
      <alignment horizontal="center" vertical="center" wrapText="1"/>
      <protection hidden="1"/>
    </xf>
    <xf numFmtId="0" fontId="13" fillId="3" borderId="51" xfId="0" applyFont="1" applyFill="1" applyBorder="1" applyAlignment="1" applyProtection="1">
      <alignment horizontal="center" vertical="center" wrapText="1"/>
      <protection hidden="1"/>
    </xf>
    <xf numFmtId="0" fontId="13" fillId="3" borderId="197" xfId="0" applyFont="1" applyFill="1" applyBorder="1" applyAlignment="1" applyProtection="1">
      <alignment horizontal="center" vertical="center" wrapText="1"/>
      <protection hidden="1"/>
    </xf>
    <xf numFmtId="0" fontId="13" fillId="3" borderId="43" xfId="0" applyFont="1" applyFill="1" applyBorder="1" applyAlignment="1" applyProtection="1">
      <alignment horizontal="center" vertical="center" wrapText="1"/>
      <protection hidden="1"/>
    </xf>
    <xf numFmtId="0" fontId="219" fillId="0" borderId="18" xfId="0" applyFont="1" applyBorder="1" applyAlignment="1" applyProtection="1">
      <alignment horizontal="center" vertical="center"/>
      <protection hidden="1"/>
    </xf>
    <xf numFmtId="0" fontId="32" fillId="26" borderId="173" xfId="0" applyFont="1" applyFill="1" applyBorder="1" applyAlignment="1" applyProtection="1">
      <alignment horizontal="left" vertical="center"/>
      <protection locked="0"/>
    </xf>
    <xf numFmtId="0" fontId="32" fillId="26" borderId="3" xfId="0" applyFont="1" applyFill="1" applyBorder="1" applyAlignment="1" applyProtection="1">
      <alignment horizontal="left" vertical="center"/>
      <protection locked="0"/>
    </xf>
    <xf numFmtId="0" fontId="32" fillId="26" borderId="4" xfId="0" applyFont="1" applyFill="1" applyBorder="1" applyAlignment="1" applyProtection="1">
      <alignment horizontal="left" vertical="center"/>
      <protection locked="0"/>
    </xf>
    <xf numFmtId="0" fontId="32" fillId="0" borderId="173" xfId="0" applyFont="1" applyBorder="1" applyAlignment="1" applyProtection="1">
      <alignment horizontal="left" vertical="center"/>
      <protection hidden="1"/>
    </xf>
    <xf numFmtId="0" fontId="32" fillId="0" borderId="3" xfId="0" applyFont="1" applyBorder="1" applyAlignment="1" applyProtection="1">
      <alignment horizontal="left" vertical="center"/>
      <protection hidden="1"/>
    </xf>
    <xf numFmtId="0" fontId="32" fillId="0" borderId="4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26" borderId="43" xfId="0" applyFont="1" applyFill="1" applyBorder="1" applyAlignment="1" applyProtection="1">
      <alignment horizontal="left" vertical="center"/>
      <protection locked="0"/>
    </xf>
    <xf numFmtId="0" fontId="13" fillId="26" borderId="4" xfId="0" applyFont="1" applyFill="1" applyBorder="1" applyAlignment="1" applyProtection="1">
      <alignment horizontal="left" vertical="center"/>
      <protection locked="0"/>
    </xf>
    <xf numFmtId="0" fontId="13" fillId="26" borderId="5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13" fillId="5" borderId="163" xfId="0" applyFont="1" applyFill="1" applyBorder="1" applyAlignment="1" applyProtection="1">
      <alignment horizontal="left" vertical="center"/>
      <protection hidden="1"/>
    </xf>
    <xf numFmtId="0" fontId="13" fillId="5" borderId="174" xfId="0" applyFont="1" applyFill="1" applyBorder="1" applyAlignment="1" applyProtection="1">
      <alignment horizontal="left" vertical="center"/>
      <protection hidden="1"/>
    </xf>
    <xf numFmtId="0" fontId="13" fillId="5" borderId="164" xfId="0" applyFont="1" applyFill="1" applyBorder="1" applyAlignment="1" applyProtection="1">
      <alignment horizontal="left" vertical="center"/>
      <protection hidden="1"/>
    </xf>
    <xf numFmtId="0" fontId="73" fillId="2" borderId="44" xfId="0" applyFont="1" applyFill="1" applyBorder="1" applyAlignment="1" applyProtection="1">
      <alignment horizontal="right" vertical="center"/>
      <protection hidden="1"/>
    </xf>
    <xf numFmtId="0" fontId="73" fillId="2" borderId="45" xfId="0" applyFont="1" applyFill="1" applyBorder="1" applyAlignment="1" applyProtection="1">
      <alignment horizontal="right" vertical="center"/>
      <protection hidden="1"/>
    </xf>
    <xf numFmtId="177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30" fillId="0" borderId="173" xfId="0" applyFont="1" applyBorder="1" applyAlignment="1" applyProtection="1">
      <alignment horizontal="left" vertical="center"/>
      <protection hidden="1"/>
    </xf>
    <xf numFmtId="0" fontId="30" fillId="0" borderId="3" xfId="0" applyFont="1" applyBorder="1" applyAlignment="1" applyProtection="1">
      <alignment horizontal="left" vertical="center"/>
      <protection hidden="1"/>
    </xf>
    <xf numFmtId="0" fontId="30" fillId="0" borderId="4" xfId="0" applyFont="1" applyBorder="1" applyAlignment="1" applyProtection="1">
      <alignment horizontal="left" vertical="center"/>
      <protection hidden="1"/>
    </xf>
    <xf numFmtId="0" fontId="32" fillId="0" borderId="163" xfId="0" applyFont="1" applyBorder="1" applyAlignment="1" applyProtection="1">
      <alignment horizontal="left" vertical="center"/>
      <protection hidden="1"/>
    </xf>
    <xf numFmtId="0" fontId="32" fillId="0" borderId="174" xfId="0" applyFont="1" applyBorder="1" applyAlignment="1" applyProtection="1">
      <alignment horizontal="left" vertical="center"/>
      <protection hidden="1"/>
    </xf>
    <xf numFmtId="0" fontId="32" fillId="0" borderId="164" xfId="0" applyFont="1" applyBorder="1" applyAlignment="1" applyProtection="1">
      <alignment horizontal="left" vertical="center"/>
      <protection hidden="1"/>
    </xf>
    <xf numFmtId="0" fontId="12" fillId="2" borderId="43" xfId="0" applyFont="1" applyFill="1" applyBorder="1" applyAlignment="1" applyProtection="1">
      <alignment horizontal="right" vertical="center"/>
      <protection hidden="1"/>
    </xf>
    <xf numFmtId="0" fontId="12" fillId="2" borderId="5" xfId="0" applyFont="1" applyFill="1" applyBorder="1" applyAlignment="1" applyProtection="1">
      <alignment horizontal="right" vertical="center"/>
      <protection hidden="1"/>
    </xf>
    <xf numFmtId="0" fontId="217" fillId="0" borderId="0" xfId="0" applyFont="1" applyAlignment="1" applyProtection="1">
      <alignment horizontal="center" vertical="center"/>
      <protection hidden="1"/>
    </xf>
    <xf numFmtId="0" fontId="13" fillId="0" borderId="45" xfId="0" applyFont="1" applyBorder="1" applyAlignment="1" applyProtection="1">
      <alignment horizontal="left" vertical="center"/>
      <protection hidden="1"/>
    </xf>
    <xf numFmtId="0" fontId="13" fillId="0" borderId="46" xfId="0" applyFont="1" applyBorder="1" applyAlignment="1" applyProtection="1">
      <alignment horizontal="left" vertical="center"/>
      <protection hidden="1"/>
    </xf>
    <xf numFmtId="0" fontId="21" fillId="0" borderId="0" xfId="6" applyFont="1" applyAlignment="1" applyProtection="1">
      <alignment horizontal="center" vertical="center" wrapText="1"/>
      <protection hidden="1"/>
    </xf>
    <xf numFmtId="183" fontId="31" fillId="3" borderId="135" xfId="0" applyNumberFormat="1" applyFont="1" applyFill="1" applyBorder="1" applyAlignment="1" applyProtection="1">
      <alignment horizontal="center" vertical="center"/>
      <protection hidden="1"/>
    </xf>
    <xf numFmtId="183" fontId="31" fillId="3" borderId="136" xfId="0" applyNumberFormat="1" applyFont="1" applyFill="1" applyBorder="1" applyAlignment="1" applyProtection="1">
      <alignment horizontal="center" vertical="center"/>
      <protection hidden="1"/>
    </xf>
    <xf numFmtId="1" fontId="13" fillId="0" borderId="45" xfId="0" applyNumberFormat="1" applyFont="1" applyBorder="1" applyAlignment="1" applyProtection="1">
      <alignment horizontal="left" vertical="center"/>
      <protection locked="0"/>
    </xf>
    <xf numFmtId="1" fontId="13" fillId="0" borderId="46" xfId="0" applyNumberFormat="1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45" xfId="0" applyFont="1" applyBorder="1" applyAlignment="1" applyProtection="1">
      <alignment horizontal="left" vertical="center"/>
      <protection locked="0"/>
    </xf>
    <xf numFmtId="0" fontId="21" fillId="0" borderId="46" xfId="0" applyFont="1" applyBorder="1" applyAlignment="1" applyProtection="1">
      <alignment horizontal="left" vertical="center"/>
      <protection locked="0"/>
    </xf>
    <xf numFmtId="49" fontId="21" fillId="0" borderId="5" xfId="0" applyNumberFormat="1" applyFont="1" applyBorder="1" applyAlignment="1" applyProtection="1">
      <alignment horizontal="left" vertical="center"/>
      <protection locked="0"/>
    </xf>
    <xf numFmtId="49" fontId="21" fillId="0" borderId="32" xfId="0" applyNumberFormat="1" applyFont="1" applyBorder="1" applyAlignment="1" applyProtection="1">
      <alignment horizontal="left" vertical="center"/>
      <protection locked="0"/>
    </xf>
    <xf numFmtId="0" fontId="21" fillId="0" borderId="41" xfId="0" applyFont="1" applyBorder="1" applyAlignment="1" applyProtection="1">
      <alignment horizontal="left" vertical="center"/>
      <protection locked="0"/>
    </xf>
    <xf numFmtId="0" fontId="21" fillId="0" borderId="42" xfId="0" applyFont="1" applyBorder="1" applyAlignment="1" applyProtection="1">
      <alignment horizontal="left" vertical="center"/>
      <protection locked="0"/>
    </xf>
    <xf numFmtId="183" fontId="31" fillId="3" borderId="91" xfId="0" applyNumberFormat="1" applyFont="1" applyFill="1" applyBorder="1" applyAlignment="1" applyProtection="1">
      <alignment horizontal="center" vertical="center"/>
      <protection hidden="1"/>
    </xf>
    <xf numFmtId="183" fontId="31" fillId="3" borderId="86" xfId="0" applyNumberFormat="1" applyFont="1" applyFill="1" applyBorder="1" applyAlignment="1" applyProtection="1">
      <alignment horizontal="center" vertical="center"/>
      <protection hidden="1"/>
    </xf>
    <xf numFmtId="0" fontId="175" fillId="0" borderId="0" xfId="0" applyFont="1" applyAlignment="1">
      <alignment horizontal="center" vertical="center"/>
    </xf>
    <xf numFmtId="183" fontId="31" fillId="3" borderId="150" xfId="0" applyNumberFormat="1" applyFont="1" applyFill="1" applyBorder="1" applyAlignment="1" applyProtection="1">
      <alignment horizontal="center" vertical="center"/>
      <protection hidden="1"/>
    </xf>
    <xf numFmtId="183" fontId="31" fillId="3" borderId="189" xfId="0" applyNumberFormat="1" applyFont="1" applyFill="1" applyBorder="1" applyAlignment="1" applyProtection="1">
      <alignment horizontal="center" vertical="center"/>
      <protection hidden="1"/>
    </xf>
    <xf numFmtId="0" fontId="4" fillId="0" borderId="23" xfId="6" applyFont="1" applyBorder="1" applyAlignment="1" applyProtection="1">
      <alignment horizontal="center" vertical="center" wrapText="1"/>
      <protection hidden="1"/>
    </xf>
    <xf numFmtId="0" fontId="4" fillId="0" borderId="9" xfId="6" applyFont="1" applyBorder="1" applyAlignment="1" applyProtection="1">
      <alignment horizontal="center" vertical="center" wrapText="1"/>
      <protection hidden="1"/>
    </xf>
    <xf numFmtId="0" fontId="4" fillId="0" borderId="10" xfId="6" applyFont="1" applyBorder="1" applyAlignment="1" applyProtection="1">
      <alignment horizontal="center" vertical="center" wrapText="1"/>
      <protection hidden="1"/>
    </xf>
    <xf numFmtId="0" fontId="4" fillId="0" borderId="17" xfId="6" applyFont="1" applyBorder="1" applyAlignment="1" applyProtection="1">
      <alignment horizontal="center" vertical="center" wrapText="1"/>
      <protection hidden="1"/>
    </xf>
    <xf numFmtId="0" fontId="4" fillId="0" borderId="18" xfId="6" applyFont="1" applyBorder="1" applyAlignment="1" applyProtection="1">
      <alignment horizontal="center" vertical="center" wrapText="1"/>
      <protection hidden="1"/>
    </xf>
    <xf numFmtId="0" fontId="4" fillId="0" borderId="19" xfId="6" applyFont="1" applyBorder="1" applyAlignment="1" applyProtection="1">
      <alignment horizontal="center" vertical="center" wrapText="1"/>
      <protection hidden="1"/>
    </xf>
    <xf numFmtId="183" fontId="31" fillId="2" borderId="91" xfId="0" applyNumberFormat="1" applyFont="1" applyFill="1" applyBorder="1" applyAlignment="1" applyProtection="1">
      <alignment horizontal="center" vertical="center"/>
      <protection hidden="1"/>
    </xf>
    <xf numFmtId="183" fontId="31" fillId="2" borderId="86" xfId="0" applyNumberFormat="1" applyFont="1" applyFill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left" vertical="center"/>
      <protection hidden="1"/>
    </xf>
    <xf numFmtId="0" fontId="21" fillId="0" borderId="4" xfId="0" applyFont="1" applyBorder="1" applyAlignment="1" applyProtection="1">
      <alignment horizontal="left" vertical="center"/>
      <protection hidden="1"/>
    </xf>
    <xf numFmtId="0" fontId="162" fillId="4" borderId="162" xfId="6" applyFont="1" applyFill="1" applyBorder="1" applyAlignment="1" applyProtection="1">
      <alignment horizontal="center" vertical="center"/>
      <protection hidden="1"/>
    </xf>
    <xf numFmtId="178" fontId="13" fillId="0" borderId="2" xfId="0" applyNumberFormat="1" applyFont="1" applyBorder="1" applyAlignment="1" applyProtection="1">
      <alignment horizontal="left" vertical="center"/>
      <protection locked="0"/>
    </xf>
    <xf numFmtId="178" fontId="13" fillId="0" borderId="3" xfId="0" applyNumberFormat="1" applyFont="1" applyBorder="1" applyAlignment="1" applyProtection="1">
      <alignment horizontal="left" vertical="center"/>
      <protection locked="0"/>
    </xf>
    <xf numFmtId="178" fontId="13" fillId="0" borderId="52" xfId="0" applyNumberFormat="1" applyFont="1" applyBorder="1" applyAlignment="1" applyProtection="1">
      <alignment horizontal="left" vertical="center"/>
      <protection locked="0"/>
    </xf>
    <xf numFmtId="0" fontId="13" fillId="0" borderId="171" xfId="0" applyFont="1" applyBorder="1" applyAlignment="1" applyProtection="1">
      <alignment horizontal="left" vertical="center"/>
      <protection locked="0"/>
    </xf>
    <xf numFmtId="0" fontId="13" fillId="0" borderId="54" xfId="0" applyFont="1" applyBorder="1" applyAlignment="1" applyProtection="1">
      <alignment horizontal="left" vertical="center"/>
      <protection locked="0"/>
    </xf>
    <xf numFmtId="0" fontId="13" fillId="0" borderId="55" xfId="0" applyFont="1" applyBorder="1" applyAlignment="1" applyProtection="1">
      <alignment horizontal="left" vertical="center"/>
      <protection locked="0"/>
    </xf>
    <xf numFmtId="0" fontId="13" fillId="21" borderId="43" xfId="0" applyFont="1" applyFill="1" applyBorder="1" applyAlignment="1" applyProtection="1">
      <alignment horizontal="left" vertical="center"/>
      <protection hidden="1"/>
    </xf>
    <xf numFmtId="0" fontId="13" fillId="21" borderId="4" xfId="0" applyFont="1" applyFill="1" applyBorder="1" applyAlignment="1" applyProtection="1">
      <alignment horizontal="left" vertical="center"/>
      <protection hidden="1"/>
    </xf>
    <xf numFmtId="0" fontId="13" fillId="21" borderId="5" xfId="0" applyFont="1" applyFill="1" applyBorder="1" applyAlignment="1" applyProtection="1">
      <alignment horizontal="left" vertical="center"/>
      <protection hidden="1"/>
    </xf>
    <xf numFmtId="0" fontId="215" fillId="5" borderId="23" xfId="0" applyFont="1" applyFill="1" applyBorder="1" applyAlignment="1" applyProtection="1">
      <alignment horizontal="center" vertical="center" wrapText="1"/>
      <protection hidden="1"/>
    </xf>
    <xf numFmtId="0" fontId="215" fillId="5" borderId="9" xfId="0" applyFont="1" applyFill="1" applyBorder="1" applyAlignment="1" applyProtection="1">
      <alignment horizontal="center" vertical="center" wrapText="1"/>
      <protection hidden="1"/>
    </xf>
    <xf numFmtId="0" fontId="215" fillId="5" borderId="10" xfId="0" applyFont="1" applyFill="1" applyBorder="1" applyAlignment="1" applyProtection="1">
      <alignment horizontal="center" vertical="center" wrapText="1"/>
      <protection hidden="1"/>
    </xf>
    <xf numFmtId="0" fontId="215" fillId="5" borderId="198" xfId="0" applyFont="1" applyFill="1" applyBorder="1" applyAlignment="1" applyProtection="1">
      <alignment horizontal="center" vertical="center" wrapText="1"/>
      <protection hidden="1"/>
    </xf>
    <xf numFmtId="0" fontId="215" fillId="5" borderId="29" xfId="0" applyFont="1" applyFill="1" applyBorder="1" applyAlignment="1" applyProtection="1">
      <alignment horizontal="center" vertical="center" wrapText="1"/>
      <protection hidden="1"/>
    </xf>
    <xf numFmtId="0" fontId="215" fillId="5" borderId="199" xfId="0" applyFont="1" applyFill="1" applyBorder="1" applyAlignment="1" applyProtection="1">
      <alignment horizontal="center" vertical="center" wrapText="1"/>
      <protection hidden="1"/>
    </xf>
    <xf numFmtId="0" fontId="5" fillId="0" borderId="4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7" fillId="22" borderId="23" xfId="0" applyFont="1" applyFill="1" applyBorder="1" applyAlignment="1" applyProtection="1">
      <alignment horizontal="center" vertical="center" wrapText="1"/>
      <protection hidden="1"/>
    </xf>
    <xf numFmtId="0" fontId="7" fillId="22" borderId="9" xfId="0" applyFont="1" applyFill="1" applyBorder="1" applyAlignment="1" applyProtection="1">
      <alignment horizontal="center" vertical="center" wrapText="1"/>
      <protection hidden="1"/>
    </xf>
    <xf numFmtId="0" fontId="7" fillId="22" borderId="10" xfId="0" applyFont="1" applyFill="1" applyBorder="1" applyAlignment="1" applyProtection="1">
      <alignment horizontal="center" vertical="center" wrapText="1"/>
      <protection hidden="1"/>
    </xf>
    <xf numFmtId="0" fontId="7" fillId="22" borderId="25" xfId="0" applyFont="1" applyFill="1" applyBorder="1" applyAlignment="1" applyProtection="1">
      <alignment horizontal="center" vertical="center" wrapText="1"/>
      <protection hidden="1"/>
    </xf>
    <xf numFmtId="0" fontId="7" fillId="22" borderId="0" xfId="0" applyFont="1" applyFill="1" applyAlignment="1" applyProtection="1">
      <alignment horizontal="center" vertical="center" wrapText="1"/>
      <protection hidden="1"/>
    </xf>
    <xf numFmtId="0" fontId="7" fillId="22" borderId="26" xfId="0" applyFont="1" applyFill="1" applyBorder="1" applyAlignment="1" applyProtection="1">
      <alignment horizontal="center" vertical="center" wrapText="1"/>
      <protection hidden="1"/>
    </xf>
    <xf numFmtId="0" fontId="7" fillId="22" borderId="17" xfId="0" applyFont="1" applyFill="1" applyBorder="1" applyAlignment="1" applyProtection="1">
      <alignment horizontal="center" vertical="center" wrapText="1"/>
      <protection hidden="1"/>
    </xf>
    <xf numFmtId="0" fontId="7" fillId="22" borderId="18" xfId="0" applyFont="1" applyFill="1" applyBorder="1" applyAlignment="1" applyProtection="1">
      <alignment horizontal="center" vertical="center" wrapText="1"/>
      <protection hidden="1"/>
    </xf>
    <xf numFmtId="0" fontId="7" fillId="22" borderId="19" xfId="0" applyFont="1" applyFill="1" applyBorder="1" applyAlignment="1" applyProtection="1">
      <alignment horizontal="center" vertical="center" wrapText="1"/>
      <protection hidden="1"/>
    </xf>
    <xf numFmtId="0" fontId="13" fillId="0" borderId="173" xfId="0" applyFont="1" applyBorder="1" applyAlignment="1" applyProtection="1">
      <alignment horizontal="left" vertical="center"/>
      <protection hidden="1"/>
    </xf>
    <xf numFmtId="0" fontId="13" fillId="0" borderId="3" xfId="0" applyFont="1" applyBorder="1" applyAlignment="1" applyProtection="1">
      <alignment horizontal="left" vertical="center"/>
      <protection hidden="1"/>
    </xf>
    <xf numFmtId="0" fontId="13" fillId="0" borderId="4" xfId="0" applyFont="1" applyBorder="1" applyAlignment="1" applyProtection="1">
      <alignment horizontal="left" vertical="center"/>
      <protection hidden="1"/>
    </xf>
    <xf numFmtId="0" fontId="13" fillId="25" borderId="173" xfId="0" applyFont="1" applyFill="1" applyBorder="1" applyAlignment="1" applyProtection="1">
      <alignment horizontal="left" vertical="center"/>
      <protection hidden="1"/>
    </xf>
    <xf numFmtId="0" fontId="13" fillId="25" borderId="3" xfId="0" applyFont="1" applyFill="1" applyBorder="1" applyAlignment="1" applyProtection="1">
      <alignment horizontal="left" vertical="center"/>
      <protection hidden="1"/>
    </xf>
    <xf numFmtId="0" fontId="13" fillId="25" borderId="4" xfId="0" applyFont="1" applyFill="1" applyBorder="1" applyAlignment="1" applyProtection="1">
      <alignment horizontal="left" vertical="center"/>
      <protection hidden="1"/>
    </xf>
    <xf numFmtId="0" fontId="5" fillId="0" borderId="9" xfId="6" applyFont="1" applyBorder="1" applyAlignment="1" applyProtection="1">
      <alignment horizontal="center" vertical="center" wrapText="1"/>
      <protection hidden="1"/>
    </xf>
    <xf numFmtId="0" fontId="5" fillId="0" borderId="10" xfId="6" applyFont="1" applyBorder="1" applyAlignment="1" applyProtection="1">
      <alignment horizontal="center" vertical="center" wrapText="1"/>
      <protection hidden="1"/>
    </xf>
    <xf numFmtId="0" fontId="5" fillId="0" borderId="25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horizontal="center" vertical="center" wrapText="1"/>
      <protection hidden="1"/>
    </xf>
    <xf numFmtId="0" fontId="5" fillId="0" borderId="26" xfId="6" applyFont="1" applyBorder="1" applyAlignment="1" applyProtection="1">
      <alignment horizontal="center" vertical="center" wrapText="1"/>
      <protection hidden="1"/>
    </xf>
    <xf numFmtId="0" fontId="4" fillId="0" borderId="25" xfId="6" applyFont="1" applyBorder="1" applyAlignment="1" applyProtection="1">
      <alignment horizontal="center" vertical="center" wrapText="1"/>
      <protection hidden="1"/>
    </xf>
    <xf numFmtId="0" fontId="5" fillId="0" borderId="17" xfId="6" applyFont="1" applyBorder="1" applyAlignment="1" applyProtection="1">
      <alignment horizontal="center" vertical="center" wrapText="1"/>
      <protection hidden="1"/>
    </xf>
    <xf numFmtId="0" fontId="5" fillId="0" borderId="18" xfId="6" applyFont="1" applyBorder="1" applyAlignment="1" applyProtection="1">
      <alignment horizontal="center" vertical="center" wrapText="1"/>
      <protection hidden="1"/>
    </xf>
    <xf numFmtId="0" fontId="5" fillId="0" borderId="19" xfId="6" applyFont="1" applyBorder="1" applyAlignment="1" applyProtection="1">
      <alignment horizontal="center" vertical="center" wrapText="1"/>
      <protection hidden="1"/>
    </xf>
    <xf numFmtId="0" fontId="138" fillId="20" borderId="50" xfId="0" applyFont="1" applyFill="1" applyBorder="1" applyAlignment="1" applyProtection="1">
      <alignment horizontal="center" vertical="center" wrapText="1"/>
      <protection hidden="1"/>
    </xf>
    <xf numFmtId="0" fontId="138" fillId="20" borderId="54" xfId="0" applyFont="1" applyFill="1" applyBorder="1" applyAlignment="1" applyProtection="1">
      <alignment horizontal="center" vertical="center"/>
      <protection hidden="1"/>
    </xf>
    <xf numFmtId="0" fontId="138" fillId="20" borderId="55" xfId="0" applyFont="1" applyFill="1" applyBorder="1" applyAlignment="1" applyProtection="1">
      <alignment horizontal="center" vertical="center"/>
      <protection hidden="1"/>
    </xf>
    <xf numFmtId="17" fontId="12" fillId="3" borderId="23" xfId="0" applyNumberFormat="1" applyFont="1" applyFill="1" applyBorder="1" applyAlignment="1" applyProtection="1">
      <alignment horizontal="center" vertical="center" wrapText="1"/>
      <protection hidden="1"/>
    </xf>
    <xf numFmtId="17" fontId="12" fillId="3" borderId="140" xfId="0" applyNumberFormat="1" applyFont="1" applyFill="1" applyBorder="1" applyAlignment="1" applyProtection="1">
      <alignment horizontal="center" vertical="center" wrapText="1"/>
      <protection hidden="1"/>
    </xf>
    <xf numFmtId="17" fontId="12" fillId="3" borderId="198" xfId="0" applyNumberFormat="1" applyFont="1" applyFill="1" applyBorder="1" applyAlignment="1" applyProtection="1">
      <alignment horizontal="center" vertical="center" wrapText="1"/>
      <protection hidden="1"/>
    </xf>
    <xf numFmtId="17" fontId="12" fillId="3" borderId="195" xfId="0" applyNumberFormat="1" applyFont="1" applyFill="1" applyBorder="1" applyAlignment="1" applyProtection="1">
      <alignment horizontal="center" vertical="center" wrapText="1"/>
      <protection hidden="1"/>
    </xf>
    <xf numFmtId="17" fontId="29" fillId="3" borderId="34" xfId="0" applyNumberFormat="1" applyFont="1" applyFill="1" applyBorder="1" applyAlignment="1" applyProtection="1">
      <alignment horizontal="center" vertical="center" wrapText="1"/>
      <protection hidden="1"/>
    </xf>
    <xf numFmtId="17" fontId="29" fillId="3" borderId="121" xfId="0" applyNumberFormat="1" applyFont="1" applyFill="1" applyBorder="1" applyAlignment="1" applyProtection="1">
      <alignment horizontal="center" vertical="center" wrapText="1"/>
      <protection hidden="1"/>
    </xf>
    <xf numFmtId="17" fontId="29" fillId="3" borderId="17" xfId="0" applyNumberFormat="1" applyFont="1" applyFill="1" applyBorder="1" applyAlignment="1" applyProtection="1">
      <alignment horizontal="center" vertical="center" wrapText="1"/>
      <protection hidden="1"/>
    </xf>
    <xf numFmtId="17" fontId="29" fillId="3" borderId="141" xfId="0" applyNumberFormat="1" applyFont="1" applyFill="1" applyBorder="1" applyAlignment="1" applyProtection="1">
      <alignment horizontal="center" vertical="center" wrapText="1"/>
      <protection hidden="1"/>
    </xf>
    <xf numFmtId="0" fontId="57" fillId="0" borderId="56" xfId="0" applyFont="1" applyBorder="1" applyAlignment="1" applyProtection="1">
      <alignment horizontal="center" vertical="center"/>
      <protection locked="0"/>
    </xf>
    <xf numFmtId="0" fontId="57" fillId="0" borderId="10" xfId="0" applyFont="1" applyBorder="1" applyAlignment="1" applyProtection="1">
      <alignment horizontal="center" vertical="center"/>
      <protection locked="0"/>
    </xf>
    <xf numFmtId="0" fontId="57" fillId="0" borderId="8" xfId="0" applyFont="1" applyBorder="1" applyAlignment="1" applyProtection="1">
      <alignment horizontal="center" vertical="center"/>
      <protection locked="0"/>
    </xf>
    <xf numFmtId="0" fontId="57" fillId="0" borderId="199" xfId="0" applyFont="1" applyBorder="1" applyAlignment="1" applyProtection="1">
      <alignment horizontal="center" vertical="center"/>
      <protection locked="0"/>
    </xf>
    <xf numFmtId="0" fontId="68" fillId="0" borderId="7" xfId="0" applyFont="1" applyBorder="1" applyAlignment="1" applyProtection="1">
      <alignment horizontal="center" vertical="center"/>
      <protection locked="0"/>
    </xf>
    <xf numFmtId="0" fontId="68" fillId="0" borderId="35" xfId="0" applyFont="1" applyBorder="1" applyAlignment="1" applyProtection="1">
      <alignment horizontal="center" vertical="center"/>
      <protection locked="0"/>
    </xf>
    <xf numFmtId="0" fontId="68" fillId="0" borderId="57" xfId="0" applyFont="1" applyBorder="1" applyAlignment="1" applyProtection="1">
      <alignment horizontal="center" vertical="center"/>
      <protection locked="0"/>
    </xf>
    <xf numFmtId="0" fontId="68" fillId="0" borderId="19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hidden="1"/>
    </xf>
    <xf numFmtId="188" fontId="18" fillId="0" borderId="41" xfId="0" applyNumberFormat="1" applyFont="1" applyBorder="1" applyAlignment="1" applyProtection="1">
      <alignment horizontal="center" vertical="center"/>
      <protection locked="0"/>
    </xf>
    <xf numFmtId="188" fontId="18" fillId="0" borderId="42" xfId="0" applyNumberFormat="1" applyFont="1" applyBorder="1" applyAlignment="1" applyProtection="1">
      <alignment horizontal="center" vertical="center"/>
      <protection locked="0"/>
    </xf>
    <xf numFmtId="0" fontId="74" fillId="0" borderId="161" xfId="0" applyFont="1" applyBorder="1" applyAlignment="1" applyProtection="1">
      <alignment horizontal="center" vertical="center"/>
      <protection locked="0"/>
    </xf>
    <xf numFmtId="0" fontId="74" fillId="0" borderId="175" xfId="0" applyFont="1" applyBorder="1" applyAlignment="1" applyProtection="1">
      <alignment horizontal="center" vertical="center"/>
      <protection locked="0"/>
    </xf>
    <xf numFmtId="0" fontId="213" fillId="0" borderId="10" xfId="0" applyFont="1" applyBorder="1" applyAlignment="1" applyProtection="1">
      <alignment horizontal="center" vertical="center"/>
      <protection locked="0"/>
    </xf>
    <xf numFmtId="0" fontId="213" fillId="0" borderId="19" xfId="0" applyFont="1" applyBorder="1" applyAlignment="1" applyProtection="1">
      <alignment horizontal="center" vertical="center"/>
      <protection locked="0"/>
    </xf>
    <xf numFmtId="0" fontId="225" fillId="2" borderId="23" xfId="0" applyFont="1" applyFill="1" applyBorder="1" applyAlignment="1" applyProtection="1">
      <alignment horizontal="center" vertical="center" wrapText="1"/>
      <protection hidden="1"/>
    </xf>
    <xf numFmtId="0" fontId="225" fillId="2" borderId="9" xfId="0" applyFont="1" applyFill="1" applyBorder="1" applyAlignment="1" applyProtection="1">
      <alignment horizontal="center" vertical="center" wrapText="1"/>
      <protection hidden="1"/>
    </xf>
    <xf numFmtId="0" fontId="225" fillId="2" borderId="140" xfId="0" applyFont="1" applyFill="1" applyBorder="1" applyAlignment="1" applyProtection="1">
      <alignment horizontal="center" vertical="center" wrapText="1"/>
      <protection hidden="1"/>
    </xf>
    <xf numFmtId="0" fontId="225" fillId="2" borderId="17" xfId="0" applyFont="1" applyFill="1" applyBorder="1" applyAlignment="1" applyProtection="1">
      <alignment horizontal="center" vertical="center" wrapText="1"/>
      <protection hidden="1"/>
    </xf>
    <xf numFmtId="0" fontId="225" fillId="2" borderId="18" xfId="0" applyFont="1" applyFill="1" applyBorder="1" applyAlignment="1" applyProtection="1">
      <alignment horizontal="center" vertical="center" wrapText="1"/>
      <protection hidden="1"/>
    </xf>
    <xf numFmtId="0" fontId="225" fillId="2" borderId="141" xfId="0" applyFont="1" applyFill="1" applyBorder="1" applyAlignment="1" applyProtection="1">
      <alignment horizontal="center" vertical="center" wrapText="1"/>
      <protection hidden="1"/>
    </xf>
    <xf numFmtId="0" fontId="13" fillId="25" borderId="44" xfId="0" applyFont="1" applyFill="1" applyBorder="1" applyAlignment="1" applyProtection="1">
      <alignment horizontal="center" vertical="center"/>
      <protection hidden="1"/>
    </xf>
    <xf numFmtId="0" fontId="13" fillId="25" borderId="45" xfId="0" applyFont="1" applyFill="1" applyBorder="1" applyAlignment="1" applyProtection="1">
      <alignment horizontal="center" vertical="center"/>
      <protection hidden="1"/>
    </xf>
    <xf numFmtId="0" fontId="13" fillId="25" borderId="43" xfId="0" applyFont="1" applyFill="1" applyBorder="1" applyAlignment="1" applyProtection="1">
      <alignment horizontal="center" vertical="center"/>
      <protection hidden="1"/>
    </xf>
    <xf numFmtId="0" fontId="13" fillId="25" borderId="5" xfId="0" applyFont="1" applyFill="1" applyBorder="1" applyAlignment="1" applyProtection="1">
      <alignment horizontal="center" vertical="center"/>
      <protection hidden="1"/>
    </xf>
    <xf numFmtId="0" fontId="13" fillId="25" borderId="51" xfId="0" applyFont="1" applyFill="1" applyBorder="1" applyAlignment="1" applyProtection="1">
      <alignment horizontal="center" vertical="center"/>
      <protection hidden="1"/>
    </xf>
    <xf numFmtId="0" fontId="13" fillId="25" borderId="41" xfId="0" applyFont="1" applyFill="1" applyBorder="1" applyAlignment="1" applyProtection="1">
      <alignment horizontal="center" vertical="center"/>
      <protection hidden="1"/>
    </xf>
    <xf numFmtId="0" fontId="16" fillId="0" borderId="58" xfId="0" applyFont="1" applyBorder="1" applyAlignment="1" applyProtection="1">
      <alignment horizontal="center" vertical="center"/>
      <protection hidden="1"/>
    </xf>
    <xf numFmtId="0" fontId="214" fillId="3" borderId="50" xfId="0" applyFont="1" applyFill="1" applyBorder="1" applyAlignment="1" applyProtection="1">
      <alignment horizontal="center" vertical="center"/>
      <protection hidden="1"/>
    </xf>
    <xf numFmtId="0" fontId="214" fillId="3" borderId="54" xfId="0" applyFont="1" applyFill="1" applyBorder="1" applyAlignment="1" applyProtection="1">
      <alignment horizontal="center" vertical="center"/>
      <protection hidden="1"/>
    </xf>
    <xf numFmtId="0" fontId="214" fillId="3" borderId="55" xfId="0" applyFont="1" applyFill="1" applyBorder="1" applyAlignment="1" applyProtection="1">
      <alignment horizontal="center" vertical="center"/>
      <protection hidden="1"/>
    </xf>
    <xf numFmtId="0" fontId="7" fillId="18" borderId="9" xfId="3" applyFont="1" applyFill="1" applyBorder="1" applyAlignment="1" applyProtection="1">
      <alignment horizontal="left" vertical="center"/>
      <protection hidden="1"/>
    </xf>
    <xf numFmtId="0" fontId="7" fillId="18" borderId="9" xfId="3" applyFont="1" applyFill="1" applyBorder="1" applyAlignment="1" applyProtection="1">
      <alignment horizontal="center" vertical="center"/>
      <protection hidden="1"/>
    </xf>
    <xf numFmtId="178" fontId="7" fillId="18" borderId="9" xfId="3" applyNumberFormat="1" applyFont="1" applyFill="1" applyBorder="1" applyAlignment="1" applyProtection="1">
      <alignment horizontal="left" vertical="center"/>
      <protection hidden="1"/>
    </xf>
    <xf numFmtId="178" fontId="7" fillId="18" borderId="10" xfId="3" applyNumberFormat="1" applyFont="1" applyFill="1" applyBorder="1" applyAlignment="1" applyProtection="1">
      <alignment horizontal="left" vertical="center"/>
      <protection hidden="1"/>
    </xf>
    <xf numFmtId="0" fontId="7" fillId="18" borderId="18" xfId="3" applyFont="1" applyFill="1" applyBorder="1" applyAlignment="1" applyProtection="1">
      <alignment horizontal="right" vertical="center"/>
      <protection hidden="1"/>
    </xf>
    <xf numFmtId="0" fontId="7" fillId="18" borderId="18" xfId="3" applyFont="1" applyFill="1" applyBorder="1" applyAlignment="1" applyProtection="1">
      <alignment horizontal="left" vertical="center"/>
      <protection hidden="1"/>
    </xf>
    <xf numFmtId="178" fontId="7" fillId="18" borderId="18" xfId="3" applyNumberFormat="1" applyFont="1" applyFill="1" applyBorder="1" applyAlignment="1" applyProtection="1">
      <alignment horizontal="center" vertical="center"/>
      <protection hidden="1"/>
    </xf>
    <xf numFmtId="0" fontId="7" fillId="18" borderId="19" xfId="3" applyFont="1" applyFill="1" applyBorder="1" applyAlignment="1" applyProtection="1">
      <alignment horizontal="left" vertical="center"/>
      <protection hidden="1"/>
    </xf>
    <xf numFmtId="0" fontId="164" fillId="27" borderId="58" xfId="0" applyFont="1" applyFill="1" applyBorder="1" applyAlignment="1" applyProtection="1">
      <alignment horizontal="left" vertical="center"/>
      <protection hidden="1"/>
    </xf>
    <xf numFmtId="0" fontId="164" fillId="27" borderId="138" xfId="0" applyFont="1" applyFill="1" applyBorder="1" applyAlignment="1" applyProtection="1">
      <alignment horizontal="left" vertical="center"/>
      <protection hidden="1"/>
    </xf>
    <xf numFmtId="0" fontId="168" fillId="26" borderId="132" xfId="3" applyFont="1" applyFill="1" applyBorder="1" applyAlignment="1" applyProtection="1">
      <alignment horizontal="center" vertical="center"/>
      <protection hidden="1"/>
    </xf>
    <xf numFmtId="0" fontId="168" fillId="26" borderId="58" xfId="3" applyFont="1" applyFill="1" applyBorder="1" applyAlignment="1" applyProtection="1">
      <alignment horizontal="center" vertical="center"/>
      <protection hidden="1"/>
    </xf>
    <xf numFmtId="0" fontId="168" fillId="26" borderId="138" xfId="3" applyFont="1" applyFill="1" applyBorder="1" applyAlignment="1" applyProtection="1">
      <alignment horizontal="center" vertical="center"/>
      <protection hidden="1"/>
    </xf>
    <xf numFmtId="0" fontId="13" fillId="0" borderId="9" xfId="3" applyFont="1" applyBorder="1" applyAlignment="1" applyProtection="1">
      <alignment horizontal="center" vertical="center"/>
      <protection hidden="1"/>
    </xf>
    <xf numFmtId="0" fontId="12" fillId="0" borderId="12" xfId="3" applyFont="1" applyBorder="1" applyAlignment="1" applyProtection="1">
      <alignment horizontal="center" vertical="center"/>
      <protection hidden="1"/>
    </xf>
    <xf numFmtId="0" fontId="12" fillId="0" borderId="20" xfId="3" applyFont="1" applyBorder="1" applyAlignment="1" applyProtection="1">
      <alignment horizontal="center" vertical="center"/>
      <protection hidden="1"/>
    </xf>
    <xf numFmtId="0" fontId="65" fillId="18" borderId="12" xfId="3" applyFont="1" applyFill="1" applyBorder="1" applyAlignment="1" applyProtection="1">
      <alignment horizontal="center" vertical="center" wrapText="1"/>
      <protection hidden="1"/>
    </xf>
    <xf numFmtId="0" fontId="65" fillId="18" borderId="20" xfId="3" applyFont="1" applyFill="1" applyBorder="1" applyAlignment="1" applyProtection="1">
      <alignment horizontal="center" vertical="center" wrapText="1"/>
      <protection hidden="1"/>
    </xf>
    <xf numFmtId="1" fontId="30" fillId="0" borderId="16" xfId="3" applyNumberFormat="1" applyFont="1" applyBorder="1" applyAlignment="1" applyProtection="1">
      <alignment horizontal="right"/>
      <protection hidden="1"/>
    </xf>
    <xf numFmtId="1" fontId="30" fillId="0" borderId="16" xfId="3" applyNumberFormat="1" applyFont="1" applyBorder="1" applyAlignment="1" applyProtection="1">
      <alignment horizontal="left"/>
      <protection hidden="1"/>
    </xf>
    <xf numFmtId="1" fontId="30" fillId="0" borderId="14" xfId="3" applyNumberFormat="1" applyFont="1" applyBorder="1" applyAlignment="1" applyProtection="1">
      <alignment horizontal="left"/>
      <protection hidden="1"/>
    </xf>
    <xf numFmtId="1" fontId="29" fillId="0" borderId="18" xfId="3" applyNumberFormat="1" applyFont="1" applyBorder="1" applyAlignment="1" applyProtection="1">
      <alignment horizontal="center"/>
      <protection hidden="1"/>
    </xf>
    <xf numFmtId="0" fontId="7" fillId="18" borderId="9" xfId="3" applyFont="1" applyFill="1" applyBorder="1" applyAlignment="1" applyProtection="1">
      <alignment horizontal="right" vertical="center"/>
      <protection hidden="1"/>
    </xf>
    <xf numFmtId="0" fontId="32" fillId="0" borderId="2" xfId="1" applyFont="1" applyBorder="1" applyAlignment="1" applyProtection="1">
      <alignment horizontal="right" vertical="center"/>
      <protection hidden="1"/>
    </xf>
    <xf numFmtId="0" fontId="32" fillId="0" borderId="3" xfId="1" applyFont="1" applyBorder="1" applyAlignment="1" applyProtection="1">
      <alignment horizontal="right" vertical="center"/>
      <protection hidden="1"/>
    </xf>
    <xf numFmtId="186" fontId="13" fillId="0" borderId="3" xfId="9" applyNumberFormat="1" applyFont="1" applyBorder="1" applyAlignment="1" applyProtection="1">
      <alignment horizontal="right" vertical="center"/>
      <protection hidden="1"/>
    </xf>
    <xf numFmtId="186" fontId="13" fillId="0" borderId="4" xfId="9" applyNumberFormat="1" applyFont="1" applyBorder="1" applyAlignment="1" applyProtection="1">
      <alignment horizontal="right" vertical="center"/>
      <protection hidden="1"/>
    </xf>
    <xf numFmtId="0" fontId="12" fillId="18" borderId="23" xfId="1" applyFont="1" applyFill="1" applyBorder="1" applyAlignment="1" applyProtection="1">
      <alignment horizontal="center" vertical="center" wrapText="1"/>
      <protection hidden="1"/>
    </xf>
    <xf numFmtId="0" fontId="12" fillId="18" borderId="9" xfId="1" applyFont="1" applyFill="1" applyBorder="1" applyAlignment="1" applyProtection="1">
      <alignment horizontal="center" vertical="center" wrapText="1"/>
      <protection hidden="1"/>
    </xf>
    <xf numFmtId="0" fontId="12" fillId="18" borderId="24" xfId="1" applyFont="1" applyFill="1" applyBorder="1" applyAlignment="1" applyProtection="1">
      <alignment horizontal="center" vertical="center" wrapText="1"/>
      <protection hidden="1"/>
    </xf>
    <xf numFmtId="0" fontId="12" fillId="18" borderId="21" xfId="1" applyFont="1" applyFill="1" applyBorder="1" applyAlignment="1" applyProtection="1">
      <alignment horizontal="center" vertical="center" wrapText="1"/>
      <protection hidden="1"/>
    </xf>
    <xf numFmtId="0" fontId="29" fillId="18" borderId="9" xfId="1" applyFont="1" applyFill="1" applyBorder="1" applyAlignment="1" applyProtection="1">
      <alignment horizontal="center" vertical="center"/>
      <protection hidden="1"/>
    </xf>
    <xf numFmtId="0" fontId="56" fillId="18" borderId="21" xfId="1" applyFont="1" applyFill="1" applyBorder="1" applyAlignment="1" applyProtection="1">
      <alignment horizontal="center" vertical="center"/>
      <protection hidden="1"/>
    </xf>
    <xf numFmtId="0" fontId="21" fillId="0" borderId="3" xfId="1" applyFont="1" applyBorder="1" applyAlignment="1" applyProtection="1">
      <alignment horizontal="center" vertical="center"/>
      <protection hidden="1"/>
    </xf>
    <xf numFmtId="0" fontId="21" fillId="0" borderId="4" xfId="1" applyFont="1" applyBorder="1" applyAlignment="1" applyProtection="1">
      <alignment horizontal="center" vertical="center"/>
      <protection hidden="1"/>
    </xf>
    <xf numFmtId="0" fontId="13" fillId="0" borderId="2" xfId="1" applyFont="1" applyBorder="1" applyAlignment="1" applyProtection="1">
      <alignment horizontal="right" vertical="center"/>
      <protection hidden="1"/>
    </xf>
    <xf numFmtId="0" fontId="13" fillId="0" borderId="3" xfId="1" applyFont="1" applyBorder="1" applyAlignment="1" applyProtection="1">
      <alignment horizontal="right" vertical="center"/>
      <protection hidden="1"/>
    </xf>
    <xf numFmtId="0" fontId="133" fillId="0" borderId="169" xfId="1" applyFont="1" applyBorder="1" applyAlignment="1" applyProtection="1">
      <alignment horizontal="right" vertical="center"/>
      <protection hidden="1"/>
    </xf>
    <xf numFmtId="0" fontId="133" fillId="0" borderId="100" xfId="1" applyFont="1" applyBorder="1" applyAlignment="1" applyProtection="1">
      <alignment horizontal="right" vertical="center"/>
      <protection hidden="1"/>
    </xf>
    <xf numFmtId="0" fontId="5" fillId="18" borderId="9" xfId="1" applyFont="1" applyFill="1" applyBorder="1" applyAlignment="1" applyProtection="1">
      <alignment horizontal="center" vertical="center"/>
      <protection hidden="1"/>
    </xf>
    <xf numFmtId="0" fontId="5" fillId="18" borderId="21" xfId="1" applyFont="1" applyFill="1" applyBorder="1" applyAlignment="1" applyProtection="1">
      <alignment horizontal="center" vertical="center"/>
      <protection hidden="1"/>
    </xf>
    <xf numFmtId="0" fontId="13" fillId="0" borderId="3" xfId="1" applyFont="1" applyBorder="1" applyAlignment="1" applyProtection="1">
      <alignment horizontal="center" vertical="center"/>
      <protection hidden="1"/>
    </xf>
    <xf numFmtId="186" fontId="13" fillId="0" borderId="41" xfId="1" applyNumberFormat="1" applyFont="1" applyBorder="1" applyAlignment="1" applyProtection="1">
      <alignment horizontal="right" vertical="center"/>
      <protection hidden="1"/>
    </xf>
    <xf numFmtId="186" fontId="13" fillId="0" borderId="42" xfId="1" applyNumberFormat="1" applyFont="1" applyBorder="1" applyAlignment="1" applyProtection="1">
      <alignment horizontal="right" vertical="center"/>
      <protection hidden="1"/>
    </xf>
    <xf numFmtId="186" fontId="13" fillId="0" borderId="5" xfId="1" applyNumberFormat="1" applyFont="1" applyBorder="1" applyAlignment="1" applyProtection="1">
      <alignment horizontal="right" vertical="center"/>
      <protection hidden="1"/>
    </xf>
    <xf numFmtId="186" fontId="13" fillId="0" borderId="32" xfId="1" applyNumberFormat="1" applyFont="1" applyBorder="1" applyAlignment="1" applyProtection="1">
      <alignment horizontal="right" vertical="center"/>
      <protection hidden="1"/>
    </xf>
    <xf numFmtId="0" fontId="32" fillId="0" borderId="3" xfId="1" applyFont="1" applyBorder="1" applyAlignment="1" applyProtection="1">
      <alignment horizontal="center" vertical="center"/>
      <protection hidden="1"/>
    </xf>
    <xf numFmtId="0" fontId="32" fillId="0" borderId="29" xfId="1" applyFont="1" applyBorder="1" applyAlignment="1" applyProtection="1">
      <alignment horizontal="center" vertical="center"/>
      <protection hidden="1"/>
    </xf>
    <xf numFmtId="0" fontId="13" fillId="0" borderId="111" xfId="1" applyFont="1" applyBorder="1" applyAlignment="1" applyProtection="1">
      <alignment horizontal="center" vertical="center" wrapText="1"/>
      <protection hidden="1"/>
    </xf>
    <xf numFmtId="0" fontId="13" fillId="0" borderId="0" xfId="1" applyFont="1" applyAlignment="1" applyProtection="1">
      <alignment horizontal="center" vertical="center" wrapText="1"/>
      <protection hidden="1"/>
    </xf>
    <xf numFmtId="0" fontId="13" fillId="0" borderId="28" xfId="1" applyFont="1" applyBorder="1" applyAlignment="1" applyProtection="1">
      <alignment horizontal="center" vertical="center" wrapText="1"/>
      <protection hidden="1"/>
    </xf>
    <xf numFmtId="0" fontId="13" fillId="0" borderId="29" xfId="1" applyFont="1" applyBorder="1" applyAlignment="1" applyProtection="1">
      <alignment horizontal="center" vertical="center" wrapText="1"/>
      <protection hidden="1"/>
    </xf>
    <xf numFmtId="186" fontId="13" fillId="0" borderId="45" xfId="1" applyNumberFormat="1" applyFont="1" applyBorder="1" applyAlignment="1" applyProtection="1">
      <alignment horizontal="right" vertical="center"/>
      <protection hidden="1"/>
    </xf>
    <xf numFmtId="186" fontId="13" fillId="0" borderId="46" xfId="1" applyNumberFormat="1" applyFont="1" applyBorder="1" applyAlignment="1" applyProtection="1">
      <alignment horizontal="right" vertical="center"/>
      <protection hidden="1"/>
    </xf>
    <xf numFmtId="0" fontId="39" fillId="0" borderId="142" xfId="0" applyFont="1" applyBorder="1" applyAlignment="1">
      <alignment horizontal="center" vertical="center" wrapText="1"/>
    </xf>
    <xf numFmtId="0" fontId="39" fillId="0" borderId="143" xfId="0" applyFont="1" applyBorder="1" applyAlignment="1">
      <alignment horizontal="center" vertical="center" wrapText="1"/>
    </xf>
    <xf numFmtId="0" fontId="39" fillId="0" borderId="144" xfId="0" applyFont="1" applyBorder="1" applyAlignment="1">
      <alignment horizontal="center" vertical="center" wrapText="1"/>
    </xf>
    <xf numFmtId="0" fontId="39" fillId="0" borderId="14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46" xfId="0" applyFont="1" applyBorder="1" applyAlignment="1">
      <alignment horizontal="center" vertical="center" wrapText="1"/>
    </xf>
    <xf numFmtId="0" fontId="39" fillId="0" borderId="147" xfId="0" applyFont="1" applyBorder="1" applyAlignment="1">
      <alignment horizontal="center" vertical="center" wrapText="1"/>
    </xf>
    <xf numFmtId="0" fontId="39" fillId="0" borderId="148" xfId="0" applyFont="1" applyBorder="1" applyAlignment="1">
      <alignment horizontal="center" vertical="center" wrapText="1"/>
    </xf>
    <xf numFmtId="0" fontId="39" fillId="0" borderId="149" xfId="0" applyFont="1" applyBorder="1" applyAlignment="1">
      <alignment horizontal="center" vertical="center" wrapText="1"/>
    </xf>
    <xf numFmtId="0" fontId="32" fillId="0" borderId="3" xfId="1" applyFont="1" applyBorder="1" applyAlignment="1" applyProtection="1">
      <alignment horizontal="left" vertical="center"/>
      <protection hidden="1"/>
    </xf>
    <xf numFmtId="0" fontId="7" fillId="0" borderId="5" xfId="1" applyFont="1" applyBorder="1" applyAlignment="1" applyProtection="1">
      <alignment horizontal="right" vertical="center"/>
      <protection hidden="1"/>
    </xf>
    <xf numFmtId="0" fontId="7" fillId="2" borderId="5" xfId="1" applyFont="1" applyFill="1" applyBorder="1" applyAlignment="1" applyProtection="1">
      <alignment horizontal="center" vertical="center"/>
      <protection hidden="1"/>
    </xf>
    <xf numFmtId="0" fontId="32" fillId="10" borderId="3" xfId="1" applyFont="1" applyFill="1" applyBorder="1" applyAlignment="1" applyProtection="1">
      <alignment horizontal="right" vertical="center"/>
      <protection hidden="1"/>
    </xf>
    <xf numFmtId="0" fontId="32" fillId="10" borderId="4" xfId="1" applyFont="1" applyFill="1" applyBorder="1" applyAlignment="1" applyProtection="1">
      <alignment horizontal="right" vertical="center"/>
      <protection hidden="1"/>
    </xf>
    <xf numFmtId="9" fontId="32" fillId="0" borderId="3" xfId="1" applyNumberFormat="1" applyFont="1" applyBorder="1" applyAlignment="1" applyProtection="1">
      <alignment horizontal="right"/>
      <protection hidden="1"/>
    </xf>
    <xf numFmtId="9" fontId="32" fillId="0" borderId="4" xfId="1" applyNumberFormat="1" applyFont="1" applyBorder="1" applyAlignment="1" applyProtection="1">
      <alignment horizontal="right"/>
      <protection hidden="1"/>
    </xf>
    <xf numFmtId="186" fontId="5" fillId="0" borderId="5" xfId="5" applyNumberFormat="1" applyFont="1" applyFill="1" applyBorder="1" applyAlignment="1" applyProtection="1">
      <alignment horizontal="right" vertical="center" indent="2"/>
      <protection hidden="1"/>
    </xf>
    <xf numFmtId="0" fontId="205" fillId="0" borderId="3" xfId="1" applyFont="1" applyBorder="1" applyAlignment="1" applyProtection="1">
      <alignment horizontal="center" vertical="center"/>
      <protection hidden="1"/>
    </xf>
    <xf numFmtId="0" fontId="205" fillId="0" borderId="4" xfId="1" applyFont="1" applyBorder="1" applyAlignment="1" applyProtection="1">
      <alignment horizontal="center" vertical="center"/>
      <protection hidden="1"/>
    </xf>
    <xf numFmtId="0" fontId="12" fillId="3" borderId="2" xfId="1" applyFont="1" applyFill="1" applyBorder="1" applyAlignment="1" applyProtection="1">
      <alignment horizontal="center" vertical="center"/>
      <protection hidden="1"/>
    </xf>
    <xf numFmtId="0" fontId="12" fillId="3" borderId="3" xfId="1" applyFont="1" applyFill="1" applyBorder="1" applyAlignment="1" applyProtection="1">
      <alignment horizontal="center" vertical="center"/>
      <protection hidden="1"/>
    </xf>
    <xf numFmtId="0" fontId="12" fillId="3" borderId="4" xfId="1" applyFont="1" applyFill="1" applyBorder="1" applyAlignment="1" applyProtection="1">
      <alignment horizontal="center" vertical="center"/>
      <protection hidden="1"/>
    </xf>
    <xf numFmtId="0" fontId="150" fillId="0" borderId="3" xfId="1" applyFont="1" applyBorder="1" applyAlignment="1" applyProtection="1">
      <alignment horizontal="center" vertical="center"/>
      <protection hidden="1"/>
    </xf>
    <xf numFmtId="0" fontId="150" fillId="0" borderId="4" xfId="1" applyFont="1" applyBorder="1" applyAlignment="1" applyProtection="1">
      <alignment horizontal="center" vertical="center"/>
      <protection hidden="1"/>
    </xf>
    <xf numFmtId="0" fontId="21" fillId="0" borderId="29" xfId="1" applyFont="1" applyBorder="1" applyAlignment="1" applyProtection="1">
      <alignment horizontal="center" vertical="center"/>
      <protection hidden="1"/>
    </xf>
    <xf numFmtId="0" fontId="66" fillId="0" borderId="0" xfId="0" applyFont="1" applyAlignment="1">
      <alignment horizontal="center" vertical="center" wrapText="1"/>
    </xf>
    <xf numFmtId="0" fontId="16" fillId="0" borderId="9" xfId="1" applyFont="1" applyBorder="1" applyAlignment="1">
      <alignment horizontal="center"/>
    </xf>
    <xf numFmtId="0" fontId="32" fillId="0" borderId="34" xfId="1" applyFont="1" applyBorder="1" applyAlignment="1" applyProtection="1">
      <alignment horizontal="center" vertical="center"/>
      <protection hidden="1"/>
    </xf>
    <xf numFmtId="0" fontId="32" fillId="0" borderId="33" xfId="1" applyFont="1" applyBorder="1" applyAlignment="1" applyProtection="1">
      <alignment horizontal="center" vertical="center"/>
      <protection hidden="1"/>
    </xf>
    <xf numFmtId="0" fontId="32" fillId="0" borderId="35" xfId="1" applyFont="1" applyBorder="1" applyAlignment="1" applyProtection="1">
      <alignment horizontal="center" vertical="center"/>
      <protection hidden="1"/>
    </xf>
    <xf numFmtId="1" fontId="30" fillId="0" borderId="17" xfId="1" applyNumberFormat="1" applyFont="1" applyBorder="1" applyAlignment="1" applyProtection="1">
      <alignment horizontal="center"/>
      <protection hidden="1"/>
    </xf>
    <xf numFmtId="1" fontId="30" fillId="0" borderId="18" xfId="1" applyNumberFormat="1" applyFont="1" applyBorder="1" applyAlignment="1" applyProtection="1">
      <alignment horizontal="center"/>
      <protection hidden="1"/>
    </xf>
    <xf numFmtId="1" fontId="30" fillId="0" borderId="19" xfId="1" applyNumberFormat="1" applyFont="1" applyBorder="1" applyAlignment="1" applyProtection="1">
      <alignment horizontal="center"/>
      <protection hidden="1"/>
    </xf>
    <xf numFmtId="0" fontId="12" fillId="0" borderId="2" xfId="1" applyFont="1" applyBorder="1" applyAlignment="1" applyProtection="1">
      <alignment horizontal="right" vertical="center"/>
      <protection hidden="1"/>
    </xf>
    <xf numFmtId="0" fontId="12" fillId="0" borderId="4" xfId="1" applyFont="1" applyBorder="1" applyAlignment="1" applyProtection="1">
      <alignment horizontal="right" vertical="center"/>
      <protection hidden="1"/>
    </xf>
    <xf numFmtId="0" fontId="7" fillId="0" borderId="2" xfId="1" applyFont="1" applyBorder="1" applyAlignment="1" applyProtection="1">
      <alignment horizontal="right" vertical="center"/>
      <protection hidden="1"/>
    </xf>
    <xf numFmtId="0" fontId="7" fillId="0" borderId="4" xfId="1" applyFont="1" applyBorder="1" applyAlignment="1" applyProtection="1">
      <alignment horizontal="right" vertical="center"/>
      <protection hidden="1"/>
    </xf>
    <xf numFmtId="0" fontId="21" fillId="0" borderId="5" xfId="1" applyFont="1" applyBorder="1" applyAlignment="1" applyProtection="1">
      <alignment horizontal="center" vertical="center"/>
      <protection hidden="1"/>
    </xf>
    <xf numFmtId="0" fontId="72" fillId="0" borderId="5" xfId="1" applyFont="1" applyBorder="1" applyAlignment="1" applyProtection="1">
      <alignment horizontal="right" vertical="center"/>
      <protection hidden="1"/>
    </xf>
    <xf numFmtId="0" fontId="13" fillId="0" borderId="170" xfId="1" applyFont="1" applyBorder="1" applyAlignment="1" applyProtection="1">
      <alignment horizontal="center" vertical="center" wrapText="1"/>
      <protection hidden="1"/>
    </xf>
    <xf numFmtId="0" fontId="13" fillId="0" borderId="33" xfId="1" applyFont="1" applyBorder="1" applyAlignment="1" applyProtection="1">
      <alignment horizontal="center" vertical="center" wrapText="1"/>
      <protection hidden="1"/>
    </xf>
    <xf numFmtId="0" fontId="13" fillId="2" borderId="5" xfId="1" applyFont="1" applyFill="1" applyBorder="1" applyAlignment="1" applyProtection="1">
      <alignment horizontal="center" vertical="center"/>
      <protection hidden="1"/>
    </xf>
    <xf numFmtId="0" fontId="12" fillId="18" borderId="10" xfId="1" applyFont="1" applyFill="1" applyBorder="1" applyAlignment="1" applyProtection="1">
      <alignment horizontal="center" vertical="center"/>
      <protection hidden="1"/>
    </xf>
    <xf numFmtId="0" fontId="12" fillId="18" borderId="21" xfId="1" applyFont="1" applyFill="1" applyBorder="1" applyAlignment="1" applyProtection="1">
      <alignment horizontal="center" vertical="center"/>
      <protection hidden="1"/>
    </xf>
    <xf numFmtId="0" fontId="12" fillId="18" borderId="22" xfId="1" applyFont="1" applyFill="1" applyBorder="1" applyAlignment="1" applyProtection="1">
      <alignment horizontal="center" vertical="center"/>
      <protection hidden="1"/>
    </xf>
    <xf numFmtId="0" fontId="13" fillId="9" borderId="5" xfId="1" applyFont="1" applyFill="1" applyBorder="1" applyAlignment="1" applyProtection="1">
      <alignment horizontal="center" vertical="center"/>
      <protection hidden="1"/>
    </xf>
    <xf numFmtId="0" fontId="37" fillId="0" borderId="5" xfId="1" applyFont="1" applyBorder="1" applyAlignment="1" applyProtection="1">
      <alignment horizontal="right" vertical="center"/>
      <protection hidden="1"/>
    </xf>
    <xf numFmtId="0" fontId="33" fillId="0" borderId="2" xfId="1" applyFont="1" applyBorder="1" applyAlignment="1" applyProtection="1">
      <alignment horizontal="center" vertical="center"/>
      <protection hidden="1"/>
    </xf>
    <xf numFmtId="0" fontId="33" fillId="0" borderId="3" xfId="1" applyFont="1" applyBorder="1" applyAlignment="1" applyProtection="1">
      <alignment horizontal="center" vertical="center"/>
      <protection hidden="1"/>
    </xf>
    <xf numFmtId="0" fontId="21" fillId="0" borderId="5" xfId="1" applyFont="1" applyBorder="1" applyAlignment="1" applyProtection="1">
      <alignment horizontal="right" vertical="center"/>
      <protection hidden="1"/>
    </xf>
    <xf numFmtId="0" fontId="21" fillId="11" borderId="3" xfId="1" applyFont="1" applyFill="1" applyBorder="1" applyAlignment="1" applyProtection="1">
      <alignment horizontal="center" vertical="center"/>
      <protection hidden="1"/>
    </xf>
    <xf numFmtId="0" fontId="21" fillId="11" borderId="4" xfId="1" applyFont="1" applyFill="1" applyBorder="1" applyAlignment="1" applyProtection="1">
      <alignment horizontal="center" vertical="center"/>
      <protection hidden="1"/>
    </xf>
    <xf numFmtId="0" fontId="21" fillId="10" borderId="51" xfId="1" applyFont="1" applyFill="1" applyBorder="1" applyAlignment="1" applyProtection="1">
      <alignment horizontal="center" vertical="center"/>
      <protection hidden="1"/>
    </xf>
    <xf numFmtId="0" fontId="21" fillId="10" borderId="41" xfId="1" applyFont="1" applyFill="1" applyBorder="1" applyAlignment="1" applyProtection="1">
      <alignment horizontal="center" vertical="center"/>
      <protection hidden="1"/>
    </xf>
    <xf numFmtId="0" fontId="21" fillId="10" borderId="42" xfId="1" applyFont="1" applyFill="1" applyBorder="1" applyAlignment="1" applyProtection="1">
      <alignment horizontal="center" vertical="center"/>
      <protection hidden="1"/>
    </xf>
    <xf numFmtId="184" fontId="5" fillId="0" borderId="3" xfId="9" applyNumberFormat="1" applyFont="1" applyFill="1" applyBorder="1" applyAlignment="1" applyProtection="1">
      <alignment horizontal="center" vertical="center"/>
      <protection hidden="1"/>
    </xf>
    <xf numFmtId="184" fontId="5" fillId="0" borderId="4" xfId="9" applyNumberFormat="1" applyFont="1" applyFill="1" applyBorder="1" applyAlignment="1" applyProtection="1">
      <alignment horizontal="center" vertical="center"/>
      <protection hidden="1"/>
    </xf>
    <xf numFmtId="174" fontId="5" fillId="0" borderId="5" xfId="8" applyNumberFormat="1" applyFont="1" applyFill="1" applyBorder="1" applyAlignment="1" applyProtection="1">
      <alignment horizontal="center" vertical="center"/>
      <protection hidden="1"/>
    </xf>
    <xf numFmtId="174" fontId="5" fillId="0" borderId="32" xfId="8" applyNumberFormat="1" applyFont="1" applyFill="1" applyBorder="1" applyAlignment="1" applyProtection="1">
      <alignment horizontal="center" vertical="center"/>
      <protection hidden="1"/>
    </xf>
    <xf numFmtId="0" fontId="21" fillId="0" borderId="2" xfId="1" applyFont="1" applyBorder="1" applyAlignment="1" applyProtection="1">
      <alignment horizontal="center" vertical="center"/>
      <protection hidden="1"/>
    </xf>
    <xf numFmtId="0" fontId="29" fillId="26" borderId="124" xfId="1" applyFont="1" applyFill="1" applyBorder="1" applyAlignment="1" applyProtection="1">
      <alignment horizontal="center" vertical="center" textRotation="90"/>
      <protection hidden="1"/>
    </xf>
    <xf numFmtId="0" fontId="29" fillId="26" borderId="192" xfId="1" applyFont="1" applyFill="1" applyBorder="1" applyAlignment="1" applyProtection="1">
      <alignment horizontal="center" vertical="center" textRotation="90"/>
      <protection hidden="1"/>
    </xf>
    <xf numFmtId="0" fontId="29" fillId="26" borderId="194" xfId="1" applyFont="1" applyFill="1" applyBorder="1" applyAlignment="1" applyProtection="1">
      <alignment horizontal="center" vertical="center" textRotation="90"/>
      <protection hidden="1"/>
    </xf>
    <xf numFmtId="186" fontId="5" fillId="0" borderId="45" xfId="5" applyNumberFormat="1" applyFont="1" applyFill="1" applyBorder="1" applyAlignment="1" applyProtection="1">
      <alignment horizontal="right" vertical="center" indent="2"/>
      <protection hidden="1"/>
    </xf>
    <xf numFmtId="174" fontId="5" fillId="0" borderId="45" xfId="8" applyNumberFormat="1" applyFont="1" applyFill="1" applyBorder="1" applyAlignment="1" applyProtection="1">
      <alignment horizontal="center" vertical="center"/>
      <protection hidden="1"/>
    </xf>
    <xf numFmtId="174" fontId="5" fillId="0" borderId="46" xfId="8" applyNumberFormat="1" applyFont="1" applyFill="1" applyBorder="1" applyAlignment="1" applyProtection="1">
      <alignment horizontal="center" vertical="center"/>
      <protection hidden="1"/>
    </xf>
    <xf numFmtId="0" fontId="56" fillId="2" borderId="23" xfId="1" applyFont="1" applyFill="1" applyBorder="1" applyAlignment="1" applyProtection="1">
      <alignment horizontal="center" vertical="center"/>
      <protection hidden="1"/>
    </xf>
    <xf numFmtId="0" fontId="56" fillId="2" borderId="9" xfId="1" applyFont="1" applyFill="1" applyBorder="1" applyAlignment="1" applyProtection="1">
      <alignment horizontal="center" vertical="center"/>
      <protection hidden="1"/>
    </xf>
    <xf numFmtId="0" fontId="56" fillId="2" borderId="10" xfId="1" applyFont="1" applyFill="1" applyBorder="1" applyAlignment="1" applyProtection="1">
      <alignment horizontal="center" vertical="center"/>
      <protection hidden="1"/>
    </xf>
    <xf numFmtId="0" fontId="56" fillId="2" borderId="198" xfId="1" applyFont="1" applyFill="1" applyBorder="1" applyAlignment="1" applyProtection="1">
      <alignment horizontal="center" vertical="center"/>
      <protection hidden="1"/>
    </xf>
    <xf numFmtId="0" fontId="56" fillId="2" borderId="29" xfId="1" applyFont="1" applyFill="1" applyBorder="1" applyAlignment="1" applyProtection="1">
      <alignment horizontal="center" vertical="center"/>
      <protection hidden="1"/>
    </xf>
    <xf numFmtId="0" fontId="56" fillId="2" borderId="199" xfId="1" applyFont="1" applyFill="1" applyBorder="1" applyAlignment="1" applyProtection="1">
      <alignment horizontal="center" vertical="center"/>
      <protection hidden="1"/>
    </xf>
    <xf numFmtId="0" fontId="85" fillId="0" borderId="0" xfId="1" applyFont="1" applyAlignment="1" applyProtection="1">
      <alignment horizontal="left" vertical="center"/>
      <protection hidden="1"/>
    </xf>
    <xf numFmtId="0" fontId="85" fillId="0" borderId="83" xfId="1" applyFont="1" applyBorder="1" applyAlignment="1" applyProtection="1">
      <alignment horizontal="left" vertical="center"/>
      <protection hidden="1"/>
    </xf>
    <xf numFmtId="175" fontId="137" fillId="0" borderId="82" xfId="1" applyNumberFormat="1" applyFont="1" applyBorder="1" applyAlignment="1" applyProtection="1">
      <alignment horizontal="center" vertical="top" wrapText="1"/>
      <protection hidden="1"/>
    </xf>
    <xf numFmtId="0" fontId="120" fillId="0" borderId="74" xfId="1" applyFont="1" applyBorder="1" applyAlignment="1" applyProtection="1">
      <alignment horizontal="center" vertical="center"/>
      <protection hidden="1"/>
    </xf>
    <xf numFmtId="0" fontId="120" fillId="0" borderId="73" xfId="1" applyFont="1" applyBorder="1" applyAlignment="1" applyProtection="1">
      <alignment horizontal="center" vertical="center"/>
      <protection hidden="1"/>
    </xf>
    <xf numFmtId="0" fontId="32" fillId="0" borderId="9" xfId="1" applyFont="1" applyBorder="1" applyAlignment="1">
      <alignment horizontal="center" vertical="center"/>
    </xf>
    <xf numFmtId="0" fontId="84" fillId="0" borderId="0" xfId="1" applyFont="1" applyAlignment="1" applyProtection="1">
      <alignment horizontal="left" vertical="center" wrapText="1"/>
      <protection hidden="1"/>
    </xf>
    <xf numFmtId="0" fontId="83" fillId="0" borderId="79" xfId="1" applyFont="1" applyBorder="1" applyAlignment="1" applyProtection="1">
      <alignment horizontal="center" vertical="center"/>
      <protection hidden="1"/>
    </xf>
    <xf numFmtId="0" fontId="83" fillId="0" borderId="21" xfId="1" applyFont="1" applyBorder="1" applyAlignment="1" applyProtection="1">
      <alignment horizontal="center" vertical="center"/>
      <protection hidden="1"/>
    </xf>
    <xf numFmtId="0" fontId="79" fillId="0" borderId="75" xfId="1" applyFont="1" applyBorder="1" applyAlignment="1" applyProtection="1">
      <alignment horizontal="right" vertical="center"/>
      <protection hidden="1"/>
    </xf>
    <xf numFmtId="0" fontId="79" fillId="0" borderId="74" xfId="1" applyFont="1" applyBorder="1" applyAlignment="1" applyProtection="1">
      <alignment horizontal="right" vertical="center"/>
      <protection hidden="1"/>
    </xf>
    <xf numFmtId="0" fontId="85" fillId="0" borderId="85" xfId="1" applyFont="1" applyBorder="1" applyAlignment="1" applyProtection="1">
      <alignment horizontal="center" vertical="center"/>
      <protection hidden="1"/>
    </xf>
    <xf numFmtId="0" fontId="85" fillId="0" borderId="0" xfId="1" applyFont="1" applyAlignment="1" applyProtection="1">
      <alignment horizontal="center" vertical="center"/>
      <protection hidden="1"/>
    </xf>
    <xf numFmtId="3" fontId="85" fillId="0" borderId="0" xfId="1" applyNumberFormat="1" applyFont="1" applyAlignment="1" applyProtection="1">
      <alignment horizontal="left" vertical="center"/>
      <protection hidden="1"/>
    </xf>
    <xf numFmtId="3" fontId="85" fillId="0" borderId="83" xfId="1" applyNumberFormat="1" applyFont="1" applyBorder="1" applyAlignment="1" applyProtection="1">
      <alignment horizontal="left" vertical="center"/>
      <protection hidden="1"/>
    </xf>
    <xf numFmtId="3" fontId="85" fillId="0" borderId="85" xfId="1" applyNumberFormat="1" applyFont="1" applyBorder="1" applyAlignment="1" applyProtection="1">
      <alignment horizontal="left" vertical="center"/>
      <protection hidden="1"/>
    </xf>
    <xf numFmtId="3" fontId="119" fillId="0" borderId="12" xfId="1" applyNumberFormat="1" applyFont="1" applyBorder="1" applyAlignment="1" applyProtection="1">
      <alignment horizontal="center" vertical="center"/>
      <protection hidden="1"/>
    </xf>
    <xf numFmtId="0" fontId="87" fillId="0" borderId="0" xfId="1" applyFont="1" applyAlignment="1" applyProtection="1">
      <alignment horizontal="left" vertical="center"/>
      <protection hidden="1"/>
    </xf>
    <xf numFmtId="3" fontId="92" fillId="0" borderId="0" xfId="1" applyNumberFormat="1" applyFont="1" applyAlignment="1" applyProtection="1">
      <alignment horizontal="center" vertical="center"/>
      <protection hidden="1"/>
    </xf>
    <xf numFmtId="3" fontId="92" fillId="0" borderId="83" xfId="1" applyNumberFormat="1" applyFont="1" applyBorder="1" applyAlignment="1" applyProtection="1">
      <alignment horizontal="center" vertical="center"/>
      <protection hidden="1"/>
    </xf>
    <xf numFmtId="0" fontId="85" fillId="0" borderId="0" xfId="1" applyFont="1" applyAlignment="1" applyProtection="1">
      <alignment vertical="center"/>
      <protection hidden="1"/>
    </xf>
    <xf numFmtId="186" fontId="119" fillId="0" borderId="14" xfId="1" applyNumberFormat="1" applyFont="1" applyBorder="1" applyAlignment="1" applyProtection="1">
      <alignment horizontal="right" vertical="center"/>
      <protection hidden="1"/>
    </xf>
    <xf numFmtId="186" fontId="119" fillId="0" borderId="26" xfId="1" applyNumberFormat="1" applyFont="1" applyBorder="1" applyAlignment="1" applyProtection="1">
      <alignment horizontal="right" vertical="center"/>
      <protection hidden="1"/>
    </xf>
    <xf numFmtId="186" fontId="119" fillId="0" borderId="22" xfId="1" applyNumberFormat="1" applyFont="1" applyBorder="1" applyAlignment="1" applyProtection="1">
      <alignment horizontal="right" vertical="center"/>
      <protection hidden="1"/>
    </xf>
    <xf numFmtId="0" fontId="85" fillId="0" borderId="85" xfId="1" applyFont="1" applyBorder="1" applyAlignment="1" applyProtection="1">
      <alignment horizontal="left" vertical="center"/>
      <protection hidden="1"/>
    </xf>
    <xf numFmtId="0" fontId="156" fillId="18" borderId="87" xfId="1" applyFont="1" applyFill="1" applyBorder="1" applyAlignment="1" applyProtection="1">
      <alignment horizontal="center" vertical="center"/>
      <protection hidden="1"/>
    </xf>
    <xf numFmtId="0" fontId="156" fillId="18" borderId="78" xfId="1" applyFont="1" applyFill="1" applyBorder="1" applyAlignment="1" applyProtection="1">
      <alignment horizontal="center" vertical="center"/>
      <protection hidden="1"/>
    </xf>
    <xf numFmtId="0" fontId="156" fillId="18" borderId="86" xfId="1" applyFont="1" applyFill="1" applyBorder="1" applyAlignment="1" applyProtection="1">
      <alignment horizontal="center" vertical="center"/>
      <protection hidden="1"/>
    </xf>
    <xf numFmtId="0" fontId="93" fillId="0" borderId="0" xfId="1" applyFont="1" applyAlignment="1" applyProtection="1">
      <alignment horizontal="left" vertical="center"/>
      <protection hidden="1"/>
    </xf>
    <xf numFmtId="0" fontId="85" fillId="0" borderId="13" xfId="1" applyFont="1" applyBorder="1" applyAlignment="1" applyProtection="1">
      <alignment horizontal="center" vertical="center"/>
      <protection hidden="1"/>
    </xf>
    <xf numFmtId="0" fontId="85" fillId="0" borderId="12" xfId="1" applyFont="1" applyBorder="1" applyAlignment="1" applyProtection="1">
      <alignment horizontal="center" vertical="center"/>
      <protection hidden="1"/>
    </xf>
    <xf numFmtId="1" fontId="85" fillId="0" borderId="91" xfId="1" applyNumberFormat="1" applyFont="1" applyBorder="1" applyAlignment="1" applyProtection="1">
      <alignment horizontal="right" vertical="center"/>
      <protection hidden="1"/>
    </xf>
    <xf numFmtId="1" fontId="85" fillId="0" borderId="77" xfId="1" applyNumberFormat="1" applyFont="1" applyBorder="1" applyAlignment="1" applyProtection="1">
      <alignment horizontal="right" vertical="center"/>
      <protection hidden="1"/>
    </xf>
    <xf numFmtId="187" fontId="95" fillId="0" borderId="84" xfId="1" applyNumberFormat="1" applyFont="1" applyBorder="1" applyAlignment="1" applyProtection="1">
      <alignment horizontal="center" vertical="center"/>
      <protection hidden="1"/>
    </xf>
    <xf numFmtId="187" fontId="95" fillId="0" borderId="83" xfId="1" applyNumberFormat="1" applyFont="1" applyBorder="1" applyAlignment="1" applyProtection="1">
      <alignment horizontal="center" vertical="center"/>
      <protection hidden="1"/>
    </xf>
    <xf numFmtId="0" fontId="95" fillId="0" borderId="14" xfId="1" applyFont="1" applyBorder="1" applyAlignment="1" applyProtection="1">
      <alignment horizontal="center" vertical="center"/>
      <protection hidden="1"/>
    </xf>
    <xf numFmtId="0" fontId="95" fillId="0" borderId="26" xfId="1" applyFont="1" applyBorder="1" applyAlignment="1" applyProtection="1">
      <alignment horizontal="center" vertical="center"/>
      <protection hidden="1"/>
    </xf>
    <xf numFmtId="0" fontId="85" fillId="0" borderId="90" xfId="1" applyFont="1" applyBorder="1" applyAlignment="1" applyProtection="1">
      <alignment horizontal="center" vertical="center"/>
      <protection hidden="1"/>
    </xf>
    <xf numFmtId="0" fontId="85" fillId="0" borderId="81" xfId="1" applyFont="1" applyBorder="1" applyAlignment="1" applyProtection="1">
      <alignment horizontal="center" vertical="center"/>
      <protection hidden="1"/>
    </xf>
    <xf numFmtId="1" fontId="85" fillId="0" borderId="88" xfId="1" applyNumberFormat="1" applyFont="1" applyBorder="1" applyAlignment="1" applyProtection="1">
      <alignment horizontal="right" vertical="center"/>
      <protection hidden="1"/>
    </xf>
    <xf numFmtId="1" fontId="85" fillId="0" borderId="84" xfId="1" applyNumberFormat="1" applyFont="1" applyBorder="1" applyAlignment="1" applyProtection="1">
      <alignment horizontal="right" vertical="center"/>
      <protection hidden="1"/>
    </xf>
    <xf numFmtId="0" fontId="85" fillId="0" borderId="91" xfId="1" applyFont="1" applyBorder="1" applyAlignment="1" applyProtection="1">
      <alignment horizontal="center" vertical="center" wrapText="1"/>
      <protection hidden="1"/>
    </xf>
    <xf numFmtId="0" fontId="85" fillId="0" borderId="77" xfId="1" applyFont="1" applyBorder="1" applyAlignment="1" applyProtection="1">
      <alignment horizontal="center" vertical="center" wrapText="1"/>
      <protection hidden="1"/>
    </xf>
    <xf numFmtId="0" fontId="85" fillId="0" borderId="92" xfId="1" applyFont="1" applyBorder="1" applyAlignment="1" applyProtection="1">
      <alignment horizontal="center" vertical="center" wrapText="1"/>
      <protection hidden="1"/>
    </xf>
    <xf numFmtId="0" fontId="85" fillId="0" borderId="62" xfId="1" applyFont="1" applyBorder="1" applyAlignment="1" applyProtection="1">
      <alignment horizontal="center" vertical="center"/>
      <protection hidden="1"/>
    </xf>
    <xf numFmtId="0" fontId="85" fillId="0" borderId="11" xfId="1" applyFont="1" applyBorder="1" applyAlignment="1" applyProtection="1">
      <alignment horizontal="center" vertical="center"/>
      <protection hidden="1"/>
    </xf>
    <xf numFmtId="0" fontId="85" fillId="0" borderId="61" xfId="1" applyFont="1" applyBorder="1" applyAlignment="1" applyProtection="1">
      <alignment horizontal="center" vertical="center"/>
      <protection hidden="1"/>
    </xf>
    <xf numFmtId="0" fontId="85" fillId="0" borderId="97" xfId="1" applyFont="1" applyBorder="1" applyAlignment="1" applyProtection="1">
      <alignment horizontal="center" vertical="center"/>
      <protection hidden="1"/>
    </xf>
    <xf numFmtId="0" fontId="85" fillId="0" borderId="94" xfId="1" applyFont="1" applyBorder="1" applyAlignment="1" applyProtection="1">
      <alignment horizontal="center" vertical="center"/>
      <protection hidden="1"/>
    </xf>
    <xf numFmtId="0" fontId="85" fillId="0" borderId="96" xfId="1" applyFont="1" applyBorder="1" applyAlignment="1" applyProtection="1">
      <alignment horizontal="center" vertical="center"/>
      <protection hidden="1"/>
    </xf>
    <xf numFmtId="0" fontId="85" fillId="0" borderId="95" xfId="1" applyFont="1" applyBorder="1" applyAlignment="1" applyProtection="1">
      <alignment horizontal="center" vertical="center"/>
      <protection hidden="1"/>
    </xf>
    <xf numFmtId="178" fontId="85" fillId="0" borderId="94" xfId="1" applyNumberFormat="1" applyFont="1" applyBorder="1" applyAlignment="1" applyProtection="1">
      <alignment horizontal="center" vertical="center"/>
      <protection hidden="1"/>
    </xf>
    <xf numFmtId="178" fontId="85" fillId="0" borderId="93" xfId="1" applyNumberFormat="1" applyFont="1" applyBorder="1" applyAlignment="1" applyProtection="1">
      <alignment horizontal="center" vertical="center"/>
      <protection hidden="1"/>
    </xf>
    <xf numFmtId="0" fontId="96" fillId="17" borderId="24" xfId="1" applyFont="1" applyFill="1" applyBorder="1" applyAlignment="1" applyProtection="1">
      <alignment horizontal="center" vertical="center"/>
      <protection hidden="1"/>
    </xf>
    <xf numFmtId="0" fontId="96" fillId="17" borderId="21" xfId="1" applyFont="1" applyFill="1" applyBorder="1" applyAlignment="1" applyProtection="1">
      <alignment horizontal="center" vertical="center"/>
      <protection hidden="1"/>
    </xf>
    <xf numFmtId="0" fontId="96" fillId="17" borderId="22" xfId="1" applyFont="1" applyFill="1" applyBorder="1" applyAlignment="1" applyProtection="1">
      <alignment horizontal="center" vertical="center"/>
      <protection hidden="1"/>
    </xf>
    <xf numFmtId="166" fontId="44" fillId="0" borderId="25" xfId="1" applyNumberFormat="1" applyFont="1" applyBorder="1" applyAlignment="1" applyProtection="1">
      <alignment horizontal="center" vertical="center"/>
      <protection hidden="1"/>
    </xf>
    <xf numFmtId="166" fontId="44" fillId="0" borderId="0" xfId="1" applyNumberFormat="1" applyFont="1" applyAlignment="1" applyProtection="1">
      <alignment horizontal="center" vertical="center"/>
      <protection hidden="1"/>
    </xf>
    <xf numFmtId="166" fontId="44" fillId="0" borderId="0" xfId="1" applyNumberFormat="1" applyFont="1" applyAlignment="1" applyProtection="1">
      <alignment horizontal="center"/>
      <protection hidden="1"/>
    </xf>
    <xf numFmtId="166" fontId="44" fillId="0" borderId="26" xfId="1" applyNumberFormat="1" applyFont="1" applyBorder="1" applyAlignment="1" applyProtection="1">
      <alignment horizontal="center"/>
      <protection hidden="1"/>
    </xf>
    <xf numFmtId="166" fontId="44" fillId="0" borderId="24" xfId="1" applyNumberFormat="1" applyFont="1" applyBorder="1" applyAlignment="1" applyProtection="1">
      <alignment horizontal="center" vertical="center"/>
      <protection hidden="1"/>
    </xf>
    <xf numFmtId="166" fontId="44" fillId="0" borderId="21" xfId="1" applyNumberFormat="1" applyFont="1" applyBorder="1" applyAlignment="1" applyProtection="1">
      <alignment horizontal="center" vertical="center"/>
      <protection hidden="1"/>
    </xf>
    <xf numFmtId="166" fontId="44" fillId="0" borderId="21" xfId="1" applyNumberFormat="1" applyFont="1" applyBorder="1" applyAlignment="1" applyProtection="1">
      <alignment horizontal="center"/>
      <protection hidden="1"/>
    </xf>
    <xf numFmtId="166" fontId="44" fillId="0" borderId="22" xfId="1" applyNumberFormat="1" applyFont="1" applyBorder="1" applyAlignment="1" applyProtection="1">
      <alignment horizontal="center"/>
      <protection hidden="1"/>
    </xf>
    <xf numFmtId="0" fontId="85" fillId="0" borderId="102" xfId="1" applyFont="1" applyBorder="1" applyAlignment="1" applyProtection="1">
      <alignment horizontal="center" vertical="center"/>
      <protection hidden="1"/>
    </xf>
    <xf numFmtId="0" fontId="85" fillId="0" borderId="99" xfId="1" applyFont="1" applyBorder="1" applyAlignment="1" applyProtection="1">
      <alignment horizontal="center" vertical="center"/>
      <protection hidden="1"/>
    </xf>
    <xf numFmtId="0" fontId="85" fillId="0" borderId="101" xfId="1" applyFont="1" applyBorder="1" applyAlignment="1" applyProtection="1">
      <alignment horizontal="center" vertical="center"/>
      <protection hidden="1"/>
    </xf>
    <xf numFmtId="0" fontId="85" fillId="0" borderId="100" xfId="1" applyFont="1" applyBorder="1" applyAlignment="1" applyProtection="1">
      <alignment horizontal="center" vertical="center"/>
      <protection hidden="1"/>
    </xf>
    <xf numFmtId="0" fontId="85" fillId="0" borderId="98" xfId="1" applyFont="1" applyBorder="1" applyAlignment="1" applyProtection="1">
      <alignment horizontal="center" vertical="center"/>
      <protection hidden="1"/>
    </xf>
    <xf numFmtId="0" fontId="85" fillId="17" borderId="117" xfId="1" applyFont="1" applyFill="1" applyBorder="1" applyAlignment="1" applyProtection="1">
      <alignment horizontal="right"/>
      <protection hidden="1"/>
    </xf>
    <xf numFmtId="0" fontId="85" fillId="17" borderId="118" xfId="1" applyFont="1" applyFill="1" applyBorder="1" applyAlignment="1" applyProtection="1">
      <alignment horizontal="right"/>
      <protection hidden="1"/>
    </xf>
    <xf numFmtId="1" fontId="115" fillId="0" borderId="104" xfId="1" applyNumberFormat="1" applyFont="1" applyBorder="1" applyAlignment="1" applyProtection="1">
      <alignment horizontal="center" vertical="center"/>
      <protection hidden="1"/>
    </xf>
    <xf numFmtId="1" fontId="115" fillId="0" borderId="103" xfId="1" applyNumberFormat="1" applyFont="1" applyBorder="1" applyAlignment="1" applyProtection="1">
      <alignment horizontal="center" vertical="center"/>
      <protection hidden="1"/>
    </xf>
    <xf numFmtId="1" fontId="115" fillId="0" borderId="118" xfId="1" applyNumberFormat="1" applyFont="1" applyBorder="1" applyAlignment="1" applyProtection="1">
      <alignment horizontal="center" vertical="center"/>
      <protection hidden="1"/>
    </xf>
    <xf numFmtId="1" fontId="115" fillId="0" borderId="119" xfId="1" applyNumberFormat="1" applyFont="1" applyBorder="1" applyAlignment="1" applyProtection="1">
      <alignment horizontal="center" vertical="center"/>
      <protection hidden="1"/>
    </xf>
    <xf numFmtId="0" fontId="115" fillId="18" borderId="107" xfId="1" applyFont="1" applyFill="1" applyBorder="1" applyAlignment="1" applyProtection="1">
      <alignment horizontal="center" vertical="center" wrapText="1"/>
      <protection hidden="1"/>
    </xf>
    <xf numFmtId="0" fontId="99" fillId="18" borderId="107" xfId="1" applyFont="1" applyFill="1" applyBorder="1" applyAlignment="1" applyProtection="1">
      <alignment horizontal="center" vertical="center" wrapText="1"/>
      <protection hidden="1"/>
    </xf>
    <xf numFmtId="0" fontId="99" fillId="18" borderId="106" xfId="1" applyFont="1" applyFill="1" applyBorder="1" applyAlignment="1" applyProtection="1">
      <alignment horizontal="center" vertical="center" wrapText="1"/>
      <protection hidden="1"/>
    </xf>
    <xf numFmtId="0" fontId="98" fillId="0" borderId="25" xfId="1" applyFont="1" applyBorder="1" applyAlignment="1" applyProtection="1">
      <alignment horizontal="center" vertical="center"/>
      <protection hidden="1"/>
    </xf>
    <xf numFmtId="0" fontId="98" fillId="0" borderId="0" xfId="1" applyFont="1" applyAlignment="1" applyProtection="1">
      <alignment horizontal="center" vertical="center"/>
      <protection hidden="1"/>
    </xf>
    <xf numFmtId="0" fontId="85" fillId="0" borderId="0" xfId="1" applyFont="1" applyAlignment="1" applyProtection="1">
      <alignment horizontal="center" vertical="center" wrapText="1"/>
      <protection hidden="1"/>
    </xf>
    <xf numFmtId="0" fontId="85" fillId="18" borderId="105" xfId="1" applyFont="1" applyFill="1" applyBorder="1" applyAlignment="1" applyProtection="1">
      <alignment horizontal="center" vertical="center"/>
      <protection hidden="1"/>
    </xf>
    <xf numFmtId="0" fontId="85" fillId="18" borderId="104" xfId="1" applyFont="1" applyFill="1" applyBorder="1" applyAlignment="1" applyProtection="1">
      <alignment horizontal="center" vertical="center"/>
      <protection hidden="1"/>
    </xf>
    <xf numFmtId="0" fontId="85" fillId="18" borderId="103" xfId="1" applyFont="1" applyFill="1" applyBorder="1" applyAlignment="1" applyProtection="1">
      <alignment horizontal="center" vertical="center"/>
      <protection hidden="1"/>
    </xf>
    <xf numFmtId="0" fontId="88" fillId="0" borderId="18" xfId="1" applyFont="1" applyBorder="1" applyAlignment="1" applyProtection="1">
      <alignment horizontal="left" vertical="center"/>
      <protection hidden="1"/>
    </xf>
    <xf numFmtId="0" fontId="88" fillId="0" borderId="19" xfId="1" applyFont="1" applyBorder="1" applyAlignment="1" applyProtection="1">
      <alignment horizontal="left" vertical="center"/>
      <protection hidden="1"/>
    </xf>
    <xf numFmtId="0" fontId="30" fillId="0" borderId="9" xfId="1" applyFont="1" applyBorder="1" applyAlignment="1">
      <alignment horizontal="center" vertical="center"/>
    </xf>
    <xf numFmtId="181" fontId="44" fillId="0" borderId="0" xfId="1" applyNumberFormat="1" applyFont="1" applyAlignment="1" applyProtection="1">
      <alignment horizontal="left"/>
      <protection hidden="1"/>
    </xf>
    <xf numFmtId="0" fontId="44" fillId="0" borderId="0" xfId="1" applyFont="1" applyAlignment="1" applyProtection="1">
      <alignment horizontal="left" vertical="center"/>
      <protection hidden="1"/>
    </xf>
    <xf numFmtId="0" fontId="44" fillId="0" borderId="26" xfId="1" applyFont="1" applyBorder="1" applyAlignment="1" applyProtection="1">
      <alignment horizontal="left" vertical="center"/>
      <protection hidden="1"/>
    </xf>
    <xf numFmtId="166" fontId="44" fillId="0" borderId="0" xfId="1" applyNumberFormat="1" applyFont="1" applyAlignment="1" applyProtection="1">
      <alignment horizontal="left" vertical="center"/>
      <protection hidden="1"/>
    </xf>
    <xf numFmtId="166" fontId="44" fillId="0" borderId="26" xfId="1" applyNumberFormat="1" applyFont="1" applyBorder="1" applyAlignment="1" applyProtection="1">
      <alignment horizontal="left" vertical="center"/>
      <protection hidden="1"/>
    </xf>
    <xf numFmtId="0" fontId="116" fillId="0" borderId="25" xfId="1" applyFont="1" applyBorder="1" applyAlignment="1" applyProtection="1">
      <alignment horizontal="center" vertical="center"/>
      <protection hidden="1"/>
    </xf>
    <xf numFmtId="0" fontId="116" fillId="0" borderId="0" xfId="1" applyFont="1" applyAlignment="1" applyProtection="1">
      <alignment horizontal="center" vertical="center"/>
      <protection hidden="1"/>
    </xf>
    <xf numFmtId="0" fontId="116" fillId="0" borderId="26" xfId="1" applyFont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left" vertical="center" wrapText="1"/>
      <protection hidden="1"/>
    </xf>
    <xf numFmtId="0" fontId="12" fillId="0" borderId="26" xfId="1" applyFont="1" applyBorder="1" applyAlignment="1" applyProtection="1">
      <alignment horizontal="left" vertical="center" wrapText="1"/>
      <protection hidden="1"/>
    </xf>
    <xf numFmtId="0" fontId="44" fillId="0" borderId="0" xfId="1" applyFont="1" applyAlignment="1" applyProtection="1">
      <alignment horizontal="center" vertical="center"/>
      <protection hidden="1"/>
    </xf>
    <xf numFmtId="0" fontId="44" fillId="0" borderId="26" xfId="1" applyFont="1" applyBorder="1" applyAlignment="1" applyProtection="1">
      <alignment horizontal="center" vertical="center"/>
      <protection hidden="1"/>
    </xf>
    <xf numFmtId="0" fontId="88" fillId="0" borderId="104" xfId="1" applyFont="1" applyBorder="1" applyAlignment="1" applyProtection="1">
      <alignment horizontal="left" vertical="center"/>
      <protection hidden="1"/>
    </xf>
    <xf numFmtId="0" fontId="88" fillId="0" borderId="103" xfId="1" applyFont="1" applyBorder="1" applyAlignment="1" applyProtection="1">
      <alignment horizontal="left" vertical="center"/>
      <protection hidden="1"/>
    </xf>
    <xf numFmtId="1" fontId="95" fillId="0" borderId="81" xfId="1" applyNumberFormat="1" applyFont="1" applyBorder="1" applyAlignment="1" applyProtection="1">
      <alignment horizontal="center" vertical="center"/>
      <protection hidden="1"/>
    </xf>
    <xf numFmtId="1" fontId="95" fillId="0" borderId="89" xfId="1" applyNumberFormat="1" applyFont="1" applyBorder="1" applyAlignment="1" applyProtection="1">
      <alignment horizontal="center" vertical="center"/>
      <protection hidden="1"/>
    </xf>
    <xf numFmtId="1" fontId="95" fillId="0" borderId="61" xfId="1" applyNumberFormat="1" applyFont="1" applyBorder="1" applyAlignment="1" applyProtection="1">
      <alignment horizontal="center" vertical="center"/>
      <protection hidden="1"/>
    </xf>
    <xf numFmtId="1" fontId="94" fillId="18" borderId="91" xfId="1" applyNumberFormat="1" applyFont="1" applyFill="1" applyBorder="1" applyAlignment="1" applyProtection="1">
      <alignment horizontal="center" vertical="center"/>
      <protection hidden="1"/>
    </xf>
    <xf numFmtId="1" fontId="94" fillId="18" borderId="77" xfId="1" applyNumberFormat="1" applyFont="1" applyFill="1" applyBorder="1" applyAlignment="1" applyProtection="1">
      <alignment horizontal="center" vertical="center"/>
      <protection hidden="1"/>
    </xf>
    <xf numFmtId="0" fontId="85" fillId="0" borderId="15" xfId="1" applyFont="1" applyBorder="1" applyAlignment="1" applyProtection="1">
      <alignment horizontal="center" vertical="center"/>
      <protection hidden="1"/>
    </xf>
    <xf numFmtId="0" fontId="85" fillId="0" borderId="16" xfId="1" applyFont="1" applyBorder="1" applyAlignment="1" applyProtection="1">
      <alignment horizontal="center" vertical="center"/>
      <protection hidden="1"/>
    </xf>
    <xf numFmtId="0" fontId="85" fillId="0" borderId="14" xfId="1" applyFont="1" applyBorder="1" applyAlignment="1" applyProtection="1">
      <alignment horizontal="center" vertical="center"/>
      <protection hidden="1"/>
    </xf>
    <xf numFmtId="0" fontId="85" fillId="0" borderId="24" xfId="1" applyFont="1" applyBorder="1" applyAlignment="1" applyProtection="1">
      <alignment horizontal="center" vertical="center"/>
      <protection hidden="1"/>
    </xf>
    <xf numFmtId="0" fontId="85" fillId="0" borderId="21" xfId="1" applyFont="1" applyBorder="1" applyAlignment="1" applyProtection="1">
      <alignment horizontal="center" vertical="center"/>
      <protection hidden="1"/>
    </xf>
    <xf numFmtId="0" fontId="85" fillId="0" borderId="22" xfId="1" applyFont="1" applyBorder="1" applyAlignment="1" applyProtection="1">
      <alignment horizontal="center" vertical="center"/>
      <protection hidden="1"/>
    </xf>
    <xf numFmtId="0" fontId="111" fillId="0" borderId="90" xfId="1" applyFont="1" applyBorder="1" applyAlignment="1" applyProtection="1">
      <alignment horizontal="center" vertical="center" textRotation="90"/>
      <protection hidden="1"/>
    </xf>
    <xf numFmtId="0" fontId="111" fillId="0" borderId="109" xfId="1" applyFont="1" applyBorder="1" applyAlignment="1" applyProtection="1">
      <alignment horizontal="center" vertical="center" textRotation="90"/>
      <protection hidden="1"/>
    </xf>
    <xf numFmtId="0" fontId="111" fillId="0" borderId="11" xfId="1" applyFont="1" applyBorder="1" applyAlignment="1" applyProtection="1">
      <alignment horizontal="center" vertical="center" textRotation="90"/>
      <protection hidden="1"/>
    </xf>
    <xf numFmtId="0" fontId="88" fillId="0" borderId="81" xfId="1" applyFont="1" applyBorder="1" applyAlignment="1" applyProtection="1">
      <alignment horizontal="center" vertical="center" wrapText="1"/>
      <protection hidden="1"/>
    </xf>
    <xf numFmtId="0" fontId="88" fillId="0" borderId="89" xfId="1" applyFont="1" applyBorder="1" applyAlignment="1" applyProtection="1">
      <alignment horizontal="center" vertical="center"/>
      <protection hidden="1"/>
    </xf>
    <xf numFmtId="0" fontId="88" fillId="0" borderId="61" xfId="1" applyFont="1" applyBorder="1" applyAlignment="1" applyProtection="1">
      <alignment horizontal="center" vertical="center"/>
      <protection hidden="1"/>
    </xf>
    <xf numFmtId="0" fontId="88" fillId="0" borderId="89" xfId="1" applyFont="1" applyBorder="1" applyAlignment="1" applyProtection="1">
      <alignment horizontal="center" vertical="center" wrapText="1"/>
      <protection hidden="1"/>
    </xf>
    <xf numFmtId="0" fontId="88" fillId="0" borderId="61" xfId="1" applyFont="1" applyBorder="1" applyAlignment="1" applyProtection="1">
      <alignment horizontal="center" vertical="center" wrapText="1"/>
      <protection hidden="1"/>
    </xf>
    <xf numFmtId="0" fontId="101" fillId="0" borderId="81" xfId="1" applyFont="1" applyBorder="1" applyAlignment="1" applyProtection="1">
      <alignment horizontal="center" vertical="center" wrapText="1"/>
      <protection hidden="1"/>
    </xf>
    <xf numFmtId="0" fontId="101" fillId="0" borderId="89" xfId="1" applyFont="1" applyBorder="1" applyAlignment="1" applyProtection="1">
      <alignment horizontal="center" vertical="center" wrapText="1"/>
      <protection hidden="1"/>
    </xf>
    <xf numFmtId="0" fontId="101" fillId="0" borderId="61" xfId="1" applyFont="1" applyBorder="1" applyAlignment="1" applyProtection="1">
      <alignment horizontal="center" vertical="center" wrapText="1"/>
      <protection hidden="1"/>
    </xf>
    <xf numFmtId="0" fontId="88" fillId="0" borderId="14" xfId="1" applyFont="1" applyBorder="1" applyAlignment="1" applyProtection="1">
      <alignment horizontal="center" vertical="center" wrapText="1"/>
      <protection hidden="1"/>
    </xf>
    <xf numFmtId="0" fontId="88" fillId="0" borderId="26" xfId="1" applyFont="1" applyBorder="1" applyAlignment="1" applyProtection="1">
      <alignment horizontal="center" vertical="center" wrapText="1"/>
      <protection hidden="1"/>
    </xf>
    <xf numFmtId="0" fontId="88" fillId="0" borderId="22" xfId="1" applyFont="1" applyBorder="1" applyAlignment="1" applyProtection="1">
      <alignment horizontal="center" vertical="center" wrapText="1"/>
      <protection hidden="1"/>
    </xf>
    <xf numFmtId="0" fontId="73" fillId="0" borderId="110" xfId="1" applyFont="1" applyBorder="1" applyAlignment="1" applyProtection="1">
      <alignment horizontal="left"/>
      <protection hidden="1"/>
    </xf>
    <xf numFmtId="0" fontId="73" fillId="0" borderId="21" xfId="1" applyFont="1" applyBorder="1" applyAlignment="1" applyProtection="1">
      <alignment horizontal="left"/>
      <protection hidden="1"/>
    </xf>
    <xf numFmtId="1" fontId="73" fillId="18" borderId="21" xfId="1" applyNumberFormat="1" applyFont="1" applyFill="1" applyBorder="1" applyAlignment="1" applyProtection="1">
      <alignment horizontal="center"/>
      <protection hidden="1"/>
    </xf>
    <xf numFmtId="0" fontId="73" fillId="18" borderId="21" xfId="1" applyFont="1" applyFill="1" applyBorder="1" applyAlignment="1" applyProtection="1">
      <alignment horizontal="center"/>
      <protection hidden="1"/>
    </xf>
    <xf numFmtId="164" fontId="42" fillId="0" borderId="21" xfId="1" applyNumberFormat="1" applyFont="1" applyBorder="1" applyAlignment="1" applyProtection="1">
      <alignment horizontal="left"/>
      <protection hidden="1"/>
    </xf>
    <xf numFmtId="0" fontId="85" fillId="0" borderId="111" xfId="1" applyFont="1" applyBorder="1" applyAlignment="1" applyProtection="1">
      <alignment horizontal="left"/>
      <protection hidden="1"/>
    </xf>
    <xf numFmtId="0" fontId="85" fillId="0" borderId="0" xfId="1" applyFont="1" applyAlignment="1" applyProtection="1">
      <alignment horizontal="left"/>
      <protection hidden="1"/>
    </xf>
    <xf numFmtId="0" fontId="161" fillId="0" borderId="0" xfId="1" applyFont="1" applyAlignment="1" applyProtection="1">
      <alignment horizontal="center"/>
      <protection hidden="1"/>
    </xf>
    <xf numFmtId="0" fontId="161" fillId="0" borderId="83" xfId="1" applyFont="1" applyBorder="1" applyAlignment="1" applyProtection="1">
      <alignment horizontal="center"/>
      <protection hidden="1"/>
    </xf>
    <xf numFmtId="0" fontId="85" fillId="0" borderId="0" xfId="1" applyFont="1" applyAlignment="1" applyProtection="1">
      <alignment horizontal="center"/>
      <protection hidden="1"/>
    </xf>
    <xf numFmtId="1" fontId="12" fillId="18" borderId="0" xfId="1" applyNumberFormat="1" applyFont="1" applyFill="1" applyAlignment="1" applyProtection="1">
      <alignment horizontal="center"/>
      <protection hidden="1"/>
    </xf>
    <xf numFmtId="0" fontId="12" fillId="18" borderId="83" xfId="1" applyFont="1" applyFill="1" applyBorder="1" applyAlignment="1" applyProtection="1">
      <alignment horizontal="center"/>
      <protection hidden="1"/>
    </xf>
    <xf numFmtId="0" fontId="101" fillId="0" borderId="111" xfId="1" applyFont="1" applyBorder="1" applyAlignment="1" applyProtection="1">
      <alignment horizontal="left"/>
      <protection hidden="1"/>
    </xf>
    <xf numFmtId="0" fontId="101" fillId="0" borderId="0" xfId="1" applyFont="1" applyAlignment="1" applyProtection="1">
      <alignment horizontal="left"/>
      <protection hidden="1"/>
    </xf>
    <xf numFmtId="0" fontId="129" fillId="0" borderId="0" xfId="1" applyFont="1" applyAlignment="1" applyProtection="1">
      <alignment horizontal="center" vertical="center"/>
      <protection hidden="1"/>
    </xf>
    <xf numFmtId="0" fontId="128" fillId="0" borderId="0" xfId="1" applyFont="1" applyAlignment="1" applyProtection="1">
      <alignment horizontal="left" vertical="center"/>
      <protection hidden="1"/>
    </xf>
    <xf numFmtId="0" fontId="128" fillId="0" borderId="26" xfId="1" applyFont="1" applyBorder="1" applyAlignment="1" applyProtection="1">
      <alignment horizontal="left" vertical="center"/>
      <protection hidden="1"/>
    </xf>
    <xf numFmtId="0" fontId="102" fillId="0" borderId="0" xfId="1" applyFont="1" applyAlignment="1" applyProtection="1">
      <alignment horizontal="center" vertical="center"/>
      <protection hidden="1"/>
    </xf>
    <xf numFmtId="0" fontId="102" fillId="0" borderId="26" xfId="1" applyFont="1" applyBorder="1" applyAlignment="1" applyProtection="1">
      <alignment horizontal="center" vertical="center"/>
      <protection hidden="1"/>
    </xf>
    <xf numFmtId="0" fontId="44" fillId="0" borderId="0" xfId="1" applyFont="1" applyAlignment="1" applyProtection="1">
      <alignment horizontal="center" vertical="center" wrapText="1"/>
      <protection hidden="1"/>
    </xf>
    <xf numFmtId="0" fontId="44" fillId="0" borderId="26" xfId="1" applyFont="1" applyBorder="1" applyAlignment="1" applyProtection="1">
      <alignment horizontal="center" vertical="center" wrapText="1"/>
      <protection hidden="1"/>
    </xf>
    <xf numFmtId="0" fontId="102" fillId="0" borderId="0" xfId="1" quotePrefix="1" applyFont="1" applyAlignment="1" applyProtection="1">
      <alignment horizontal="center" vertical="center"/>
      <protection hidden="1"/>
    </xf>
    <xf numFmtId="0" fontId="50" fillId="0" borderId="0" xfId="1" applyFont="1" applyAlignment="1" applyProtection="1">
      <alignment horizontal="left" vertical="center"/>
      <protection hidden="1"/>
    </xf>
    <xf numFmtId="0" fontId="121" fillId="18" borderId="23" xfId="1" applyFont="1" applyFill="1" applyBorder="1" applyAlignment="1" applyProtection="1">
      <alignment horizontal="center" vertical="center"/>
      <protection hidden="1"/>
    </xf>
    <xf numFmtId="0" fontId="121" fillId="18" borderId="9" xfId="1" applyFont="1" applyFill="1" applyBorder="1" applyAlignment="1" applyProtection="1">
      <alignment horizontal="center" vertical="center"/>
      <protection hidden="1"/>
    </xf>
    <xf numFmtId="0" fontId="121" fillId="18" borderId="10" xfId="1" applyFont="1" applyFill="1" applyBorder="1" applyAlignment="1" applyProtection="1">
      <alignment horizontal="center" vertical="center"/>
      <protection hidden="1"/>
    </xf>
    <xf numFmtId="0" fontId="121" fillId="18" borderId="25" xfId="1" applyFont="1" applyFill="1" applyBorder="1" applyAlignment="1" applyProtection="1">
      <alignment horizontal="center" vertical="center"/>
      <protection hidden="1"/>
    </xf>
    <xf numFmtId="0" fontId="121" fillId="18" borderId="0" xfId="1" applyFont="1" applyFill="1" applyAlignment="1" applyProtection="1">
      <alignment horizontal="center" vertical="center"/>
      <protection hidden="1"/>
    </xf>
    <xf numFmtId="0" fontId="121" fillId="18" borderId="26" xfId="1" applyFont="1" applyFill="1" applyBorder="1" applyAlignment="1" applyProtection="1">
      <alignment horizontal="center" vertical="center"/>
      <protection hidden="1"/>
    </xf>
    <xf numFmtId="0" fontId="122" fillId="0" borderId="25" xfId="1" applyFont="1" applyBorder="1" applyAlignment="1" applyProtection="1">
      <alignment horizontal="center" vertical="center"/>
      <protection hidden="1"/>
    </xf>
    <xf numFmtId="0" fontId="122" fillId="0" borderId="0" xfId="1" applyFont="1" applyAlignment="1" applyProtection="1">
      <alignment horizontal="center" vertical="center"/>
      <protection hidden="1"/>
    </xf>
    <xf numFmtId="0" fontId="122" fillId="0" borderId="26" xfId="1" applyFont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left" vertical="center" wrapText="1"/>
      <protection hidden="1"/>
    </xf>
    <xf numFmtId="0" fontId="125" fillId="0" borderId="0" xfId="1" applyFont="1" applyAlignment="1" applyProtection="1">
      <alignment horizontal="left" vertical="center"/>
      <protection hidden="1"/>
    </xf>
    <xf numFmtId="0" fontId="126" fillId="0" borderId="0" xfId="1" applyFont="1" applyAlignment="1" applyProtection="1">
      <alignment horizontal="left" vertical="center"/>
      <protection hidden="1"/>
    </xf>
    <xf numFmtId="0" fontId="126" fillId="0" borderId="26" xfId="1" applyFont="1" applyBorder="1" applyAlignment="1" applyProtection="1">
      <alignment horizontal="left" vertical="center"/>
      <protection hidden="1"/>
    </xf>
    <xf numFmtId="0" fontId="29" fillId="18" borderId="23" xfId="0" applyFont="1" applyFill="1" applyBorder="1" applyAlignment="1">
      <alignment horizontal="center" vertical="center" wrapText="1"/>
    </xf>
    <xf numFmtId="0" fontId="29" fillId="18" borderId="9" xfId="0" applyFont="1" applyFill="1" applyBorder="1" applyAlignment="1">
      <alignment horizontal="center" vertical="center" wrapText="1"/>
    </xf>
    <xf numFmtId="0" fontId="29" fillId="18" borderId="10" xfId="0" applyFont="1" applyFill="1" applyBorder="1" applyAlignment="1">
      <alignment horizontal="center" vertical="center" wrapText="1"/>
    </xf>
    <xf numFmtId="0" fontId="132" fillId="18" borderId="25" xfId="0" applyFont="1" applyFill="1" applyBorder="1" applyAlignment="1">
      <alignment horizontal="center" vertical="center"/>
    </xf>
    <xf numFmtId="0" fontId="132" fillId="18" borderId="0" xfId="0" applyFont="1" applyFill="1" applyAlignment="1">
      <alignment horizontal="center" vertical="center"/>
    </xf>
    <xf numFmtId="0" fontId="132" fillId="18" borderId="26" xfId="0" applyFont="1" applyFill="1" applyBorder="1" applyAlignment="1">
      <alignment horizontal="center" vertical="center"/>
    </xf>
    <xf numFmtId="0" fontId="132" fillId="0" borderId="25" xfId="0" applyFont="1" applyBorder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2" fillId="0" borderId="26" xfId="0" applyFont="1" applyBorder="1" applyAlignment="1">
      <alignment horizontal="center" vertical="center"/>
    </xf>
    <xf numFmtId="0" fontId="13" fillId="19" borderId="25" xfId="0" applyFont="1" applyFill="1" applyBorder="1" applyAlignment="1">
      <alignment horizontal="left" vertical="center"/>
    </xf>
    <xf numFmtId="0" fontId="13" fillId="19" borderId="0" xfId="0" applyFont="1" applyFill="1" applyAlignment="1">
      <alignment horizontal="left" vertical="center"/>
    </xf>
    <xf numFmtId="0" fontId="13" fillId="19" borderId="26" xfId="0" applyFont="1" applyFill="1" applyBorder="1" applyAlignment="1">
      <alignment horizontal="left" vertical="center"/>
    </xf>
    <xf numFmtId="0" fontId="12" fillId="19" borderId="11" xfId="0" applyFont="1" applyFill="1" applyBorder="1" applyAlignment="1">
      <alignment horizontal="left" vertical="center" wrapText="1"/>
    </xf>
    <xf numFmtId="0" fontId="12" fillId="19" borderId="61" xfId="0" applyFont="1" applyFill="1" applyBorder="1" applyAlignment="1">
      <alignment horizontal="left" vertical="center" wrapText="1"/>
    </xf>
    <xf numFmtId="0" fontId="12" fillId="19" borderId="62" xfId="0" applyFont="1" applyFill="1" applyBorder="1" applyAlignment="1">
      <alignment horizontal="left" vertical="center" wrapText="1"/>
    </xf>
    <xf numFmtId="0" fontId="102" fillId="18" borderId="91" xfId="0" applyFont="1" applyFill="1" applyBorder="1" applyAlignment="1">
      <alignment horizontal="center" vertical="center" wrapText="1"/>
    </xf>
    <xf numFmtId="0" fontId="102" fillId="18" borderId="78" xfId="0" applyFont="1" applyFill="1" applyBorder="1" applyAlignment="1">
      <alignment horizontal="center" vertical="center" wrapText="1"/>
    </xf>
    <xf numFmtId="0" fontId="102" fillId="18" borderId="77" xfId="0" applyFont="1" applyFill="1" applyBorder="1" applyAlignment="1">
      <alignment horizontal="center" vertical="center" wrapText="1"/>
    </xf>
    <xf numFmtId="0" fontId="131" fillId="19" borderId="91" xfId="0" quotePrefix="1" applyFont="1" applyFill="1" applyBorder="1" applyAlignment="1">
      <alignment horizontal="center" vertical="center" wrapText="1"/>
    </xf>
    <xf numFmtId="0" fontId="131" fillId="19" borderId="78" xfId="0" quotePrefix="1" applyFont="1" applyFill="1" applyBorder="1" applyAlignment="1">
      <alignment horizontal="center" vertical="center" wrapText="1"/>
    </xf>
    <xf numFmtId="0" fontId="131" fillId="19" borderId="77" xfId="0" quotePrefix="1" applyFont="1" applyFill="1" applyBorder="1" applyAlignment="1">
      <alignment horizontal="center" vertical="center" wrapText="1"/>
    </xf>
    <xf numFmtId="0" fontId="44" fillId="19" borderId="131" xfId="0" applyFont="1" applyFill="1" applyBorder="1" applyAlignment="1">
      <alignment horizontal="left" vertical="top" wrapText="1"/>
    </xf>
    <xf numFmtId="0" fontId="44" fillId="19" borderId="100" xfId="0" applyFont="1" applyFill="1" applyBorder="1" applyAlignment="1">
      <alignment horizontal="left" vertical="top" wrapText="1"/>
    </xf>
    <xf numFmtId="0" fontId="44" fillId="19" borderId="99" xfId="0" applyFont="1" applyFill="1" applyBorder="1" applyAlignment="1">
      <alignment horizontal="left" vertical="top" wrapText="1"/>
    </xf>
    <xf numFmtId="0" fontId="44" fillId="19" borderId="53" xfId="0" applyFont="1" applyFill="1" applyBorder="1" applyAlignment="1">
      <alignment horizontal="left" vertical="top"/>
    </xf>
    <xf numFmtId="0" fontId="44" fillId="19" borderId="4" xfId="0" applyFont="1" applyFill="1" applyBorder="1" applyAlignment="1">
      <alignment horizontal="left" vertical="top"/>
    </xf>
    <xf numFmtId="0" fontId="44" fillId="19" borderId="5" xfId="0" applyFont="1" applyFill="1" applyBorder="1" applyAlignment="1">
      <alignment horizontal="left" vertical="top"/>
    </xf>
    <xf numFmtId="167" fontId="44" fillId="19" borderId="31" xfId="0" applyNumberFormat="1" applyFont="1" applyFill="1" applyBorder="1" applyAlignment="1">
      <alignment horizontal="left" vertical="top"/>
    </xf>
    <xf numFmtId="167" fontId="44" fillId="19" borderId="3" xfId="0" applyNumberFormat="1" applyFont="1" applyFill="1" applyBorder="1" applyAlignment="1">
      <alignment horizontal="left" vertical="top"/>
    </xf>
    <xf numFmtId="167" fontId="44" fillId="19" borderId="4" xfId="0" applyNumberFormat="1" applyFont="1" applyFill="1" applyBorder="1" applyAlignment="1">
      <alignment horizontal="left" vertical="top"/>
    </xf>
    <xf numFmtId="167" fontId="102" fillId="0" borderId="2" xfId="0" applyNumberFormat="1" applyFont="1" applyBorder="1" applyAlignment="1" applyProtection="1">
      <alignment horizontal="left" vertical="top"/>
      <protection hidden="1"/>
    </xf>
    <xf numFmtId="167" fontId="102" fillId="0" borderId="52" xfId="0" applyNumberFormat="1" applyFont="1" applyBorder="1" applyAlignment="1" applyProtection="1">
      <alignment horizontal="left" vertical="top"/>
      <protection hidden="1"/>
    </xf>
    <xf numFmtId="167" fontId="44" fillId="19" borderId="125" xfId="0" applyNumberFormat="1" applyFont="1" applyFill="1" applyBorder="1" applyAlignment="1">
      <alignment horizontal="left" vertical="top" wrapText="1"/>
    </xf>
    <xf numFmtId="167" fontId="44" fillId="19" borderId="95" xfId="0" applyNumberFormat="1" applyFont="1" applyFill="1" applyBorder="1" applyAlignment="1">
      <alignment horizontal="left" vertical="top" wrapText="1"/>
    </xf>
    <xf numFmtId="167" fontId="44" fillId="19" borderId="94" xfId="0" applyNumberFormat="1" applyFont="1" applyFill="1" applyBorder="1" applyAlignment="1">
      <alignment horizontal="left" vertical="top" wrapText="1"/>
    </xf>
    <xf numFmtId="0" fontId="102" fillId="0" borderId="96" xfId="0" applyFont="1" applyBorder="1" applyAlignment="1" applyProtection="1">
      <alignment horizontal="left" vertical="top"/>
      <protection hidden="1"/>
    </xf>
    <xf numFmtId="0" fontId="102" fillId="0" borderId="130" xfId="0" applyFont="1" applyBorder="1" applyAlignment="1" applyProtection="1">
      <alignment horizontal="left" vertical="top"/>
      <protection hidden="1"/>
    </xf>
    <xf numFmtId="0" fontId="44" fillId="19" borderId="129" xfId="0" applyFont="1" applyFill="1" applyBorder="1" applyAlignment="1">
      <alignment horizontal="left" vertical="top" wrapText="1"/>
    </xf>
    <xf numFmtId="0" fontId="44" fillId="19" borderId="128" xfId="0" applyFont="1" applyFill="1" applyBorder="1" applyAlignment="1">
      <alignment horizontal="left" vertical="top" wrapText="1"/>
    </xf>
    <xf numFmtId="0" fontId="44" fillId="19" borderId="127" xfId="0" applyFont="1" applyFill="1" applyBorder="1" applyAlignment="1">
      <alignment horizontal="left" vertical="top" wrapText="1"/>
    </xf>
    <xf numFmtId="0" fontId="44" fillId="19" borderId="194" xfId="0" applyFont="1" applyFill="1" applyBorder="1" applyAlignment="1">
      <alignment horizontal="left" vertical="top" wrapText="1"/>
    </xf>
    <xf numFmtId="0" fontId="44" fillId="19" borderId="195" xfId="0" applyFont="1" applyFill="1" applyBorder="1" applyAlignment="1">
      <alignment horizontal="left" vertical="top" wrapText="1"/>
    </xf>
    <xf numFmtId="0" fontId="44" fillId="19" borderId="196" xfId="0" applyFont="1" applyFill="1" applyBorder="1" applyAlignment="1">
      <alignment horizontal="left" vertical="top" wrapText="1"/>
    </xf>
    <xf numFmtId="167" fontId="44" fillId="19" borderId="53" xfId="0" applyNumberFormat="1" applyFont="1" applyFill="1" applyBorder="1" applyAlignment="1">
      <alignment horizontal="left" vertical="top" wrapText="1"/>
    </xf>
    <xf numFmtId="167" fontId="44" fillId="19" borderId="4" xfId="0" applyNumberFormat="1" applyFont="1" applyFill="1" applyBorder="1" applyAlignment="1">
      <alignment horizontal="left" vertical="top" wrapText="1"/>
    </xf>
    <xf numFmtId="167" fontId="44" fillId="19" borderId="5" xfId="0" applyNumberFormat="1" applyFont="1" applyFill="1" applyBorder="1" applyAlignment="1">
      <alignment horizontal="left" vertical="top" wrapText="1"/>
    </xf>
    <xf numFmtId="0" fontId="5" fillId="19" borderId="78" xfId="0" applyFont="1" applyFill="1" applyBorder="1" applyAlignment="1">
      <alignment horizontal="left" vertical="center" wrapText="1"/>
    </xf>
    <xf numFmtId="0" fontId="5" fillId="19" borderId="86" xfId="0" applyFont="1" applyFill="1" applyBorder="1" applyAlignment="1">
      <alignment horizontal="left" vertical="center" wrapText="1"/>
    </xf>
    <xf numFmtId="0" fontId="44" fillId="19" borderId="83" xfId="0" applyFont="1" applyFill="1" applyBorder="1" applyAlignment="1">
      <alignment horizontal="center" wrapText="1"/>
    </xf>
    <xf numFmtId="0" fontId="44" fillId="19" borderId="82" xfId="0" applyFont="1" applyFill="1" applyBorder="1" applyAlignment="1">
      <alignment horizontal="center" wrapText="1"/>
    </xf>
    <xf numFmtId="0" fontId="129" fillId="19" borderId="194" xfId="0" applyFont="1" applyFill="1" applyBorder="1" applyAlignment="1">
      <alignment horizontal="left" vertical="top" wrapText="1"/>
    </xf>
    <xf numFmtId="0" fontId="129" fillId="19" borderId="195" xfId="0" applyFont="1" applyFill="1" applyBorder="1" applyAlignment="1">
      <alignment horizontal="left" vertical="top" wrapText="1"/>
    </xf>
    <xf numFmtId="0" fontId="129" fillId="19" borderId="196" xfId="0" applyFont="1" applyFill="1" applyBorder="1" applyAlignment="1">
      <alignment horizontal="left" vertical="top" wrapText="1"/>
    </xf>
    <xf numFmtId="167" fontId="129" fillId="19" borderId="53" xfId="0" applyNumberFormat="1" applyFont="1" applyFill="1" applyBorder="1" applyAlignment="1">
      <alignment horizontal="left" vertical="top" wrapText="1"/>
    </xf>
    <xf numFmtId="167" fontId="129" fillId="19" borderId="4" xfId="0" applyNumberFormat="1" applyFont="1" applyFill="1" applyBorder="1" applyAlignment="1">
      <alignment horizontal="left" vertical="top" wrapText="1"/>
    </xf>
    <xf numFmtId="167" fontId="129" fillId="19" borderId="5" xfId="0" applyNumberFormat="1" applyFont="1" applyFill="1" applyBorder="1" applyAlignment="1">
      <alignment horizontal="left" vertical="top" wrapText="1"/>
    </xf>
    <xf numFmtId="0" fontId="129" fillId="19" borderId="53" xfId="0" applyFont="1" applyFill="1" applyBorder="1" applyAlignment="1">
      <alignment horizontal="left" vertical="top" wrapText="1"/>
    </xf>
    <xf numFmtId="0" fontId="129" fillId="19" borderId="4" xfId="0" applyFont="1" applyFill="1" applyBorder="1" applyAlignment="1">
      <alignment horizontal="left" vertical="top" wrapText="1"/>
    </xf>
    <xf numFmtId="0" fontId="129" fillId="19" borderId="5" xfId="0" applyFont="1" applyFill="1" applyBorder="1" applyAlignment="1">
      <alignment horizontal="left" vertical="top" wrapText="1"/>
    </xf>
    <xf numFmtId="167" fontId="129" fillId="19" borderId="5" xfId="0" applyNumberFormat="1" applyFont="1" applyFill="1" applyBorder="1" applyAlignment="1">
      <alignment horizontal="left" vertical="top"/>
    </xf>
    <xf numFmtId="0" fontId="130" fillId="18" borderId="13" xfId="0" applyFont="1" applyFill="1" applyBorder="1" applyAlignment="1">
      <alignment horizontal="center" vertical="center" wrapText="1"/>
    </xf>
    <xf numFmtId="0" fontId="130" fillId="18" borderId="12" xfId="0" applyFont="1" applyFill="1" applyBorder="1" applyAlignment="1">
      <alignment horizontal="center" vertical="center" wrapText="1"/>
    </xf>
    <xf numFmtId="0" fontId="130" fillId="18" borderId="20" xfId="0" applyFont="1" applyFill="1" applyBorder="1" applyAlignment="1">
      <alignment horizontal="center" vertical="center" wrapText="1"/>
    </xf>
    <xf numFmtId="0" fontId="44" fillId="19" borderId="17" xfId="0" applyFont="1" applyFill="1" applyBorder="1" applyAlignment="1">
      <alignment horizontal="right" vertical="center"/>
    </xf>
    <xf numFmtId="0" fontId="44" fillId="19" borderId="18" xfId="0" applyFont="1" applyFill="1" applyBorder="1" applyAlignment="1">
      <alignment horizontal="right" vertical="center"/>
    </xf>
    <xf numFmtId="0" fontId="44" fillId="19" borderId="18" xfId="0" applyFont="1" applyFill="1" applyBorder="1" applyAlignment="1">
      <alignment horizontal="left" vertical="center"/>
    </xf>
    <xf numFmtId="0" fontId="76" fillId="19" borderId="123" xfId="0" applyFont="1" applyFill="1" applyBorder="1" applyAlignment="1">
      <alignment horizontal="center" vertical="center"/>
    </xf>
    <xf numFmtId="0" fontId="76" fillId="19" borderId="122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/>
    </xf>
    <xf numFmtId="0" fontId="44" fillId="19" borderId="15" xfId="0" applyFont="1" applyFill="1" applyBorder="1" applyAlignment="1">
      <alignment horizontal="right" vertical="center"/>
    </xf>
    <xf numFmtId="0" fontId="44" fillId="19" borderId="16" xfId="0" applyFont="1" applyFill="1" applyBorder="1" applyAlignment="1">
      <alignment horizontal="right" vertical="center"/>
    </xf>
    <xf numFmtId="0" fontId="44" fillId="19" borderId="16" xfId="0" applyFont="1" applyFill="1" applyBorder="1" applyAlignment="1">
      <alignment horizontal="left" vertical="center" wrapText="1"/>
    </xf>
    <xf numFmtId="0" fontId="44" fillId="19" borderId="83" xfId="0" applyFont="1" applyFill="1" applyBorder="1" applyAlignment="1">
      <alignment horizontal="justify" vertical="top" wrapText="1"/>
    </xf>
    <xf numFmtId="0" fontId="44" fillId="19" borderId="82" xfId="0" applyFont="1" applyFill="1" applyBorder="1" applyAlignment="1">
      <alignment horizontal="justify" vertical="top" wrapText="1"/>
    </xf>
    <xf numFmtId="0" fontId="44" fillId="19" borderId="25" xfId="0" applyFont="1" applyFill="1" applyBorder="1" applyAlignment="1">
      <alignment horizontal="right" vertical="center"/>
    </xf>
    <xf numFmtId="0" fontId="44" fillId="19" borderId="0" xfId="0" applyFont="1" applyFill="1" applyAlignment="1">
      <alignment horizontal="right" vertical="center"/>
    </xf>
    <xf numFmtId="181" fontId="44" fillId="19" borderId="0" xfId="0" applyNumberFormat="1" applyFont="1" applyFill="1" applyAlignment="1">
      <alignment horizontal="left" vertical="center"/>
    </xf>
    <xf numFmtId="0" fontId="190" fillId="0" borderId="21" xfId="0" applyFont="1" applyBorder="1" applyAlignment="1" applyProtection="1">
      <alignment horizontal="center" vertical="center"/>
      <protection hidden="1"/>
    </xf>
    <xf numFmtId="0" fontId="211" fillId="0" borderId="21" xfId="0" applyFont="1" applyBorder="1" applyAlignment="1" applyProtection="1">
      <alignment horizontal="center" vertical="center"/>
      <protection hidden="1"/>
    </xf>
    <xf numFmtId="0" fontId="188" fillId="0" borderId="0" xfId="0" applyFont="1" applyAlignment="1" applyProtection="1">
      <alignment horizontal="center" vertical="center"/>
      <protection hidden="1"/>
    </xf>
    <xf numFmtId="0" fontId="190" fillId="0" borderId="0" xfId="0" applyFont="1" applyAlignment="1" applyProtection="1">
      <alignment horizontal="center" vertical="center"/>
      <protection hidden="1"/>
    </xf>
    <xf numFmtId="0" fontId="188" fillId="0" borderId="21" xfId="0" applyFont="1" applyBorder="1" applyAlignment="1" applyProtection="1">
      <alignment horizontal="center" vertical="center"/>
      <protection hidden="1"/>
    </xf>
    <xf numFmtId="0" fontId="147" fillId="28" borderId="132" xfId="0" applyFont="1" applyFill="1" applyBorder="1" applyAlignment="1" applyProtection="1">
      <alignment horizontal="center" vertical="center"/>
      <protection hidden="1"/>
    </xf>
    <xf numFmtId="0" fontId="147" fillId="28" borderId="58" xfId="0" applyFont="1" applyFill="1" applyBorder="1" applyAlignment="1" applyProtection="1">
      <alignment horizontal="center" vertical="center"/>
      <protection hidden="1"/>
    </xf>
    <xf numFmtId="0" fontId="164" fillId="28" borderId="176" xfId="0" applyFont="1" applyFill="1" applyBorder="1" applyAlignment="1" applyProtection="1">
      <alignment horizontal="center" vertical="center"/>
      <protection hidden="1"/>
    </xf>
    <xf numFmtId="0" fontId="165" fillId="16" borderId="176" xfId="0" applyFont="1" applyFill="1" applyBorder="1" applyAlignment="1" applyProtection="1">
      <alignment horizontal="center" vertical="center"/>
      <protection locked="0"/>
    </xf>
    <xf numFmtId="0" fontId="165" fillId="16" borderId="132" xfId="0" applyFont="1" applyFill="1" applyBorder="1" applyAlignment="1" applyProtection="1">
      <alignment horizontal="center" vertical="center"/>
      <protection locked="0"/>
    </xf>
    <xf numFmtId="0" fontId="166" fillId="16" borderId="138" xfId="0" applyFont="1" applyFill="1" applyBorder="1" applyAlignment="1" applyProtection="1">
      <alignment horizontal="center" vertical="center"/>
      <protection hidden="1"/>
    </xf>
    <xf numFmtId="0" fontId="166" fillId="16" borderId="176" xfId="0" applyFont="1" applyFill="1" applyBorder="1" applyAlignment="1" applyProtection="1">
      <alignment horizontal="center" vertical="center"/>
      <protection hidden="1"/>
    </xf>
    <xf numFmtId="0" fontId="166" fillId="16" borderId="132" xfId="0" applyFont="1" applyFill="1" applyBorder="1" applyAlignment="1" applyProtection="1">
      <alignment horizontal="center" vertical="center"/>
      <protection hidden="1"/>
    </xf>
    <xf numFmtId="0" fontId="168" fillId="16" borderId="138" xfId="0" applyFont="1" applyFill="1" applyBorder="1" applyAlignment="1" applyProtection="1">
      <alignment horizontal="center" vertical="center"/>
      <protection hidden="1"/>
    </xf>
    <xf numFmtId="0" fontId="168" fillId="16" borderId="176" xfId="0" applyFont="1" applyFill="1" applyBorder="1" applyAlignment="1" applyProtection="1">
      <alignment horizontal="center" vertical="center"/>
      <protection hidden="1"/>
    </xf>
    <xf numFmtId="0" fontId="54" fillId="10" borderId="23" xfId="0" applyFont="1" applyFill="1" applyBorder="1" applyAlignment="1" applyProtection="1">
      <alignment horizontal="center" vertical="center"/>
      <protection hidden="1"/>
    </xf>
    <xf numFmtId="0" fontId="54" fillId="10" borderId="9" xfId="0" applyFont="1" applyFill="1" applyBorder="1" applyAlignment="1" applyProtection="1">
      <alignment horizontal="center" vertical="center"/>
      <protection hidden="1"/>
    </xf>
    <xf numFmtId="0" fontId="54" fillId="10" borderId="10" xfId="0" applyFont="1" applyFill="1" applyBorder="1" applyAlignment="1" applyProtection="1">
      <alignment horizontal="center" vertical="center"/>
      <protection hidden="1"/>
    </xf>
    <xf numFmtId="0" fontId="54" fillId="10" borderId="17" xfId="0" applyFont="1" applyFill="1" applyBorder="1" applyAlignment="1" applyProtection="1">
      <alignment horizontal="center" vertical="center"/>
      <protection hidden="1"/>
    </xf>
    <xf numFmtId="0" fontId="54" fillId="10" borderId="18" xfId="0" applyFont="1" applyFill="1" applyBorder="1" applyAlignment="1" applyProtection="1">
      <alignment horizontal="center" vertical="center"/>
      <protection hidden="1"/>
    </xf>
    <xf numFmtId="0" fontId="54" fillId="10" borderId="19" xfId="0" applyFont="1" applyFill="1" applyBorder="1" applyAlignment="1" applyProtection="1">
      <alignment horizontal="center" vertical="center"/>
      <protection hidden="1"/>
    </xf>
    <xf numFmtId="0" fontId="207" fillId="18" borderId="132" xfId="0" applyFont="1" applyFill="1" applyBorder="1" applyAlignment="1" applyProtection="1">
      <alignment horizontal="center" vertical="center"/>
      <protection hidden="1"/>
    </xf>
    <xf numFmtId="0" fontId="207" fillId="18" borderId="58" xfId="0" applyFont="1" applyFill="1" applyBorder="1" applyAlignment="1" applyProtection="1">
      <alignment horizontal="center" vertical="center"/>
      <protection hidden="1"/>
    </xf>
    <xf numFmtId="0" fontId="207" fillId="18" borderId="138" xfId="0" applyFont="1" applyFill="1" applyBorder="1" applyAlignment="1" applyProtection="1">
      <alignment horizontal="center" vertical="center"/>
      <protection hidden="1"/>
    </xf>
    <xf numFmtId="0" fontId="50" fillId="11" borderId="178" xfId="0" applyFont="1" applyFill="1" applyBorder="1" applyAlignment="1" applyProtection="1">
      <alignment horizontal="center" vertical="center"/>
      <protection hidden="1"/>
    </xf>
    <xf numFmtId="0" fontId="50" fillId="11" borderId="179" xfId="0" applyFont="1" applyFill="1" applyBorder="1" applyAlignment="1" applyProtection="1">
      <alignment horizontal="center" vertical="center"/>
      <protection hidden="1"/>
    </xf>
    <xf numFmtId="0" fontId="179" fillId="11" borderId="23" xfId="0" applyFont="1" applyFill="1" applyBorder="1" applyAlignment="1" applyProtection="1">
      <alignment horizontal="center" vertical="center" wrapText="1"/>
      <protection hidden="1"/>
    </xf>
    <xf numFmtId="0" fontId="179" fillId="11" borderId="9" xfId="0" applyFont="1" applyFill="1" applyBorder="1" applyAlignment="1" applyProtection="1">
      <alignment horizontal="center" vertical="center" wrapText="1"/>
      <protection hidden="1"/>
    </xf>
    <xf numFmtId="0" fontId="179" fillId="11" borderId="10" xfId="0" applyFont="1" applyFill="1" applyBorder="1" applyAlignment="1" applyProtection="1">
      <alignment horizontal="center" vertical="center" wrapText="1"/>
      <protection hidden="1"/>
    </xf>
    <xf numFmtId="0" fontId="179" fillId="11" borderId="25" xfId="0" applyFont="1" applyFill="1" applyBorder="1" applyAlignment="1" applyProtection="1">
      <alignment horizontal="center" vertical="center" wrapText="1"/>
      <protection hidden="1"/>
    </xf>
    <xf numFmtId="0" fontId="179" fillId="11" borderId="0" xfId="0" applyFont="1" applyFill="1" applyAlignment="1" applyProtection="1">
      <alignment horizontal="center" vertical="center" wrapText="1"/>
      <protection hidden="1"/>
    </xf>
    <xf numFmtId="0" fontId="179" fillId="11" borderId="26" xfId="0" applyFont="1" applyFill="1" applyBorder="1" applyAlignment="1" applyProtection="1">
      <alignment horizontal="center" vertical="center" wrapText="1"/>
      <protection hidden="1"/>
    </xf>
    <xf numFmtId="0" fontId="179" fillId="11" borderId="17" xfId="0" applyFont="1" applyFill="1" applyBorder="1" applyAlignment="1" applyProtection="1">
      <alignment horizontal="center" vertical="center" wrapText="1"/>
      <protection hidden="1"/>
    </xf>
    <xf numFmtId="0" fontId="179" fillId="11" borderId="18" xfId="0" applyFont="1" applyFill="1" applyBorder="1" applyAlignment="1" applyProtection="1">
      <alignment horizontal="center" vertical="center" wrapText="1"/>
      <protection hidden="1"/>
    </xf>
    <xf numFmtId="0" fontId="179" fillId="11" borderId="19" xfId="0" applyFont="1" applyFill="1" applyBorder="1" applyAlignment="1" applyProtection="1">
      <alignment horizontal="center" vertical="center" wrapText="1"/>
      <protection hidden="1"/>
    </xf>
    <xf numFmtId="0" fontId="184" fillId="11" borderId="23" xfId="0" applyFont="1" applyFill="1" applyBorder="1" applyAlignment="1" applyProtection="1">
      <alignment horizontal="center" vertical="center" wrapText="1"/>
      <protection hidden="1"/>
    </xf>
    <xf numFmtId="0" fontId="184" fillId="11" borderId="9" xfId="0" applyFont="1" applyFill="1" applyBorder="1" applyAlignment="1" applyProtection="1">
      <alignment horizontal="center" vertical="center" wrapText="1"/>
      <protection hidden="1"/>
    </xf>
    <xf numFmtId="0" fontId="184" fillId="11" borderId="10" xfId="0" applyFont="1" applyFill="1" applyBorder="1" applyAlignment="1" applyProtection="1">
      <alignment horizontal="center" vertical="center" wrapText="1"/>
      <protection hidden="1"/>
    </xf>
    <xf numFmtId="0" fontId="184" fillId="11" borderId="17" xfId="0" applyFont="1" applyFill="1" applyBorder="1" applyAlignment="1" applyProtection="1">
      <alignment horizontal="center" vertical="center" wrapText="1"/>
      <protection hidden="1"/>
    </xf>
    <xf numFmtId="0" fontId="184" fillId="11" borderId="18" xfId="0" applyFont="1" applyFill="1" applyBorder="1" applyAlignment="1" applyProtection="1">
      <alignment horizontal="center" vertical="center" wrapText="1"/>
      <protection hidden="1"/>
    </xf>
    <xf numFmtId="0" fontId="184" fillId="11" borderId="19" xfId="0" applyFont="1" applyFill="1" applyBorder="1" applyAlignment="1" applyProtection="1">
      <alignment horizontal="center" vertical="center" wrapText="1"/>
      <protection hidden="1"/>
    </xf>
    <xf numFmtId="0" fontId="178" fillId="0" borderId="0" xfId="0" applyFont="1" applyAlignment="1" applyProtection="1">
      <alignment horizontal="center" vertical="center"/>
      <protection hidden="1"/>
    </xf>
    <xf numFmtId="0" fontId="204" fillId="0" borderId="0" xfId="0" applyFont="1" applyAlignment="1" applyProtection="1">
      <alignment horizontal="left" vertical="center"/>
      <protection hidden="1"/>
    </xf>
    <xf numFmtId="0" fontId="204" fillId="0" borderId="26" xfId="0" applyFont="1" applyBorder="1" applyAlignment="1" applyProtection="1">
      <alignment horizontal="left" vertical="center"/>
      <protection hidden="1"/>
    </xf>
    <xf numFmtId="0" fontId="205" fillId="0" borderId="0" xfId="0" applyFont="1" applyAlignment="1" applyProtection="1">
      <alignment horizontal="left" vertical="center" wrapText="1"/>
      <protection hidden="1"/>
    </xf>
    <xf numFmtId="0" fontId="205" fillId="0" borderId="26" xfId="0" applyFont="1" applyBorder="1" applyAlignment="1" applyProtection="1">
      <alignment horizontal="left" vertical="center" wrapText="1"/>
      <protection hidden="1"/>
    </xf>
    <xf numFmtId="0" fontId="192" fillId="31" borderId="23" xfId="0" applyFont="1" applyFill="1" applyBorder="1" applyAlignment="1" applyProtection="1">
      <alignment horizontal="center" vertical="center"/>
      <protection hidden="1"/>
    </xf>
    <xf numFmtId="0" fontId="192" fillId="31" borderId="9" xfId="0" applyFont="1" applyFill="1" applyBorder="1" applyAlignment="1" applyProtection="1">
      <alignment horizontal="center" vertical="center"/>
      <protection hidden="1"/>
    </xf>
    <xf numFmtId="0" fontId="192" fillId="31" borderId="10" xfId="0" applyFont="1" applyFill="1" applyBorder="1" applyAlignment="1" applyProtection="1">
      <alignment horizontal="center" vertical="center"/>
      <protection hidden="1"/>
    </xf>
    <xf numFmtId="0" fontId="192" fillId="31" borderId="25" xfId="0" applyFont="1" applyFill="1" applyBorder="1" applyAlignment="1" applyProtection="1">
      <alignment horizontal="center" vertical="center"/>
      <protection hidden="1"/>
    </xf>
    <xf numFmtId="0" fontId="192" fillId="31" borderId="0" xfId="0" applyFont="1" applyFill="1" applyAlignment="1" applyProtection="1">
      <alignment horizontal="center" vertical="center"/>
      <protection hidden="1"/>
    </xf>
    <xf numFmtId="0" fontId="192" fillId="31" borderId="26" xfId="0" applyFont="1" applyFill="1" applyBorder="1" applyAlignment="1" applyProtection="1">
      <alignment horizontal="center" vertical="center"/>
      <protection hidden="1"/>
    </xf>
    <xf numFmtId="0" fontId="129" fillId="0" borderId="25" xfId="0" applyFont="1" applyBorder="1" applyAlignment="1" applyProtection="1">
      <alignment horizontal="center" vertical="center"/>
      <protection hidden="1"/>
    </xf>
    <xf numFmtId="0" fontId="129" fillId="0" borderId="0" xfId="0" applyFont="1" applyAlignment="1" applyProtection="1">
      <alignment horizontal="center" vertical="center"/>
      <protection hidden="1"/>
    </xf>
    <xf numFmtId="0" fontId="129" fillId="0" borderId="26" xfId="0" applyFont="1" applyBorder="1" applyAlignment="1" applyProtection="1">
      <alignment horizontal="center" vertical="center"/>
      <protection hidden="1"/>
    </xf>
    <xf numFmtId="0" fontId="193" fillId="0" borderId="0" xfId="0" applyFont="1" applyAlignment="1" applyProtection="1">
      <alignment horizontal="left" vertical="center"/>
      <protection hidden="1"/>
    </xf>
    <xf numFmtId="0" fontId="193" fillId="0" borderId="26" xfId="0" applyFont="1" applyBorder="1" applyAlignment="1" applyProtection="1">
      <alignment horizontal="left" vertical="center"/>
      <protection hidden="1"/>
    </xf>
    <xf numFmtId="0" fontId="202" fillId="0" borderId="0" xfId="0" applyFont="1" applyAlignment="1" applyProtection="1">
      <alignment horizontal="left" vertical="center"/>
      <protection hidden="1"/>
    </xf>
    <xf numFmtId="0" fontId="202" fillId="0" borderId="26" xfId="0" applyFont="1" applyBorder="1" applyAlignment="1" applyProtection="1">
      <alignment horizontal="left" vertical="center"/>
      <protection hidden="1"/>
    </xf>
    <xf numFmtId="0" fontId="94" fillId="0" borderId="0" xfId="0" applyFont="1" applyAlignment="1" applyProtection="1">
      <alignment horizontal="center" vertical="center" wrapText="1"/>
      <protection hidden="1"/>
    </xf>
    <xf numFmtId="0" fontId="94" fillId="0" borderId="26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left" vertical="top" wrapText="1"/>
      <protection hidden="1"/>
    </xf>
    <xf numFmtId="189" fontId="73" fillId="0" borderId="0" xfId="0" applyNumberFormat="1" applyFont="1" applyAlignment="1" applyProtection="1">
      <alignment vertical="top"/>
      <protection hidden="1"/>
    </xf>
    <xf numFmtId="189" fontId="73" fillId="0" borderId="26" xfId="0" applyNumberFormat="1" applyFont="1" applyBorder="1" applyAlignment="1" applyProtection="1">
      <alignment vertical="top"/>
      <protection hidden="1"/>
    </xf>
    <xf numFmtId="0" fontId="85" fillId="0" borderId="0" xfId="0" applyFont="1" applyAlignment="1" applyProtection="1">
      <alignment horizontal="right" vertical="top" wrapText="1"/>
      <protection hidden="1"/>
    </xf>
    <xf numFmtId="0" fontId="85" fillId="0" borderId="26" xfId="0" applyFont="1" applyBorder="1" applyAlignment="1" applyProtection="1">
      <alignment horizontal="right" vertical="top" wrapText="1"/>
      <protection hidden="1"/>
    </xf>
    <xf numFmtId="0" fontId="85" fillId="0" borderId="0" xfId="0" applyFont="1" applyAlignment="1" applyProtection="1">
      <alignment vertical="top" wrapText="1"/>
      <protection hidden="1"/>
    </xf>
    <xf numFmtId="0" fontId="85" fillId="0" borderId="26" xfId="0" applyFont="1" applyBorder="1" applyAlignment="1" applyProtection="1">
      <alignment vertical="top" wrapText="1"/>
      <protection hidden="1"/>
    </xf>
    <xf numFmtId="0" fontId="112" fillId="0" borderId="25" xfId="0" applyFont="1" applyBorder="1" applyAlignment="1" applyProtection="1">
      <alignment horizontal="center" vertical="center" wrapText="1"/>
      <protection hidden="1"/>
    </xf>
    <xf numFmtId="0" fontId="112" fillId="0" borderId="0" xfId="0" applyFont="1" applyAlignment="1" applyProtection="1">
      <alignment horizontal="center" vertical="center" wrapText="1"/>
      <protection hidden="1"/>
    </xf>
    <xf numFmtId="0" fontId="112" fillId="0" borderId="26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top" wrapText="1"/>
      <protection hidden="1"/>
    </xf>
    <xf numFmtId="0" fontId="44" fillId="0" borderId="26" xfId="0" applyFont="1" applyBorder="1" applyAlignment="1" applyProtection="1">
      <alignment horizontal="center" vertical="top" wrapText="1"/>
      <protection hidden="1"/>
    </xf>
    <xf numFmtId="0" fontId="194" fillId="0" borderId="25" xfId="0" applyFont="1" applyBorder="1" applyAlignment="1" applyProtection="1">
      <alignment horizontal="center" vertical="top" wrapText="1"/>
      <protection hidden="1"/>
    </xf>
    <xf numFmtId="0" fontId="194" fillId="0" borderId="0" xfId="0" applyFont="1" applyAlignment="1" applyProtection="1">
      <alignment horizontal="center" vertical="top" wrapText="1"/>
      <protection hidden="1"/>
    </xf>
    <xf numFmtId="0" fontId="194" fillId="0" borderId="26" xfId="0" applyFont="1" applyBorder="1" applyAlignment="1" applyProtection="1">
      <alignment horizontal="center" vertical="top" wrapText="1"/>
      <protection hidden="1"/>
    </xf>
    <xf numFmtId="0" fontId="44" fillId="0" borderId="25" xfId="0" applyFont="1" applyBorder="1" applyAlignment="1" applyProtection="1">
      <alignment horizontal="right" vertical="top" wrapText="1"/>
      <protection hidden="1"/>
    </xf>
    <xf numFmtId="0" fontId="44" fillId="0" borderId="0" xfId="0" applyFont="1" applyAlignment="1" applyProtection="1">
      <alignment horizontal="right" vertical="top" wrapText="1"/>
      <protection hidden="1"/>
    </xf>
    <xf numFmtId="190" fontId="76" fillId="0" borderId="0" xfId="0" applyNumberFormat="1" applyFont="1" applyAlignment="1" applyProtection="1">
      <alignment horizontal="left" vertical="top"/>
      <protection hidden="1"/>
    </xf>
    <xf numFmtId="0" fontId="44" fillId="0" borderId="25" xfId="0" applyFont="1" applyBorder="1" applyAlignment="1" applyProtection="1">
      <alignment horizontal="left" vertical="top"/>
      <protection hidden="1"/>
    </xf>
    <xf numFmtId="0" fontId="44" fillId="0" borderId="0" xfId="0" applyFont="1" applyAlignment="1" applyProtection="1">
      <alignment horizontal="left" vertical="top"/>
      <protection hidden="1"/>
    </xf>
    <xf numFmtId="191" fontId="44" fillId="0" borderId="25" xfId="0" applyNumberFormat="1" applyFont="1" applyBorder="1" applyAlignment="1" applyProtection="1">
      <alignment horizontal="left" vertical="top"/>
      <protection hidden="1"/>
    </xf>
    <xf numFmtId="191" fontId="44" fillId="0" borderId="0" xfId="0" applyNumberFormat="1" applyFont="1" applyAlignment="1" applyProtection="1">
      <alignment horizontal="left" vertical="top"/>
      <protection hidden="1"/>
    </xf>
    <xf numFmtId="0" fontId="195" fillId="0" borderId="9" xfId="0" applyFont="1" applyBorder="1" applyAlignment="1">
      <alignment horizontal="center"/>
    </xf>
    <xf numFmtId="0" fontId="95" fillId="0" borderId="23" xfId="0" applyFont="1" applyBorder="1" applyAlignment="1" applyProtection="1">
      <alignment horizontal="center" vertical="center" wrapText="1"/>
      <protection hidden="1"/>
    </xf>
    <xf numFmtId="0" fontId="95" fillId="0" borderId="9" xfId="0" applyFont="1" applyBorder="1" applyAlignment="1" applyProtection="1">
      <alignment horizontal="center" vertical="center" wrapText="1"/>
      <protection hidden="1"/>
    </xf>
    <xf numFmtId="0" fontId="95" fillId="0" borderId="10" xfId="0" applyFont="1" applyBorder="1" applyAlignment="1" applyProtection="1">
      <alignment horizontal="center" vertical="center" wrapText="1"/>
      <protection hidden="1"/>
    </xf>
    <xf numFmtId="0" fontId="44" fillId="0" borderId="25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26" xfId="0" applyFont="1" applyBorder="1" applyAlignment="1" applyProtection="1">
      <alignment horizontal="center" vertical="center" wrapText="1"/>
      <protection hidden="1"/>
    </xf>
    <xf numFmtId="0" fontId="196" fillId="0" borderId="15" xfId="0" applyFont="1" applyBorder="1" applyAlignment="1" applyProtection="1">
      <alignment horizontal="center" vertical="center" wrapText="1"/>
      <protection hidden="1"/>
    </xf>
    <xf numFmtId="0" fontId="196" fillId="0" borderId="16" xfId="0" applyFont="1" applyBorder="1" applyAlignment="1" applyProtection="1">
      <alignment horizontal="center" vertical="center" wrapText="1"/>
      <protection hidden="1"/>
    </xf>
    <xf numFmtId="0" fontId="196" fillId="0" borderId="14" xfId="0" applyFont="1" applyBorder="1" applyAlignment="1" applyProtection="1">
      <alignment horizontal="center" vertical="center" wrapText="1"/>
      <protection hidden="1"/>
    </xf>
    <xf numFmtId="0" fontId="197" fillId="0" borderId="25" xfId="0" applyFont="1" applyBorder="1" applyAlignment="1" applyProtection="1">
      <alignment horizontal="center" vertical="center" wrapText="1"/>
      <protection hidden="1"/>
    </xf>
    <xf numFmtId="0" fontId="197" fillId="0" borderId="0" xfId="0" applyFont="1" applyAlignment="1" applyProtection="1">
      <alignment horizontal="center" vertical="center" wrapText="1"/>
      <protection hidden="1"/>
    </xf>
    <xf numFmtId="0" fontId="197" fillId="0" borderId="26" xfId="0" applyFont="1" applyBorder="1" applyAlignment="1" applyProtection="1">
      <alignment horizontal="center" vertical="center" wrapText="1"/>
      <protection hidden="1"/>
    </xf>
    <xf numFmtId="0" fontId="96" fillId="0" borderId="13" xfId="0" applyFont="1" applyBorder="1" applyAlignment="1" applyProtection="1">
      <alignment horizontal="center" vertical="center" wrapText="1"/>
      <protection hidden="1"/>
    </xf>
    <xf numFmtId="0" fontId="96" fillId="0" borderId="12" xfId="0" applyFont="1" applyBorder="1" applyAlignment="1" applyProtection="1">
      <alignment horizontal="center" vertical="center" wrapText="1"/>
      <protection hidden="1"/>
    </xf>
    <xf numFmtId="0" fontId="96" fillId="0" borderId="91" xfId="0" applyFont="1" applyBorder="1" applyAlignment="1" applyProtection="1">
      <alignment horizontal="center" vertical="center" wrapText="1"/>
      <protection hidden="1"/>
    </xf>
    <xf numFmtId="0" fontId="198" fillId="0" borderId="81" xfId="0" applyFont="1" applyBorder="1" applyAlignment="1" applyProtection="1">
      <alignment horizontal="center" vertical="center" textRotation="90"/>
      <protection hidden="1"/>
    </xf>
    <xf numFmtId="0" fontId="198" fillId="0" borderId="89" xfId="0" applyFont="1" applyBorder="1" applyAlignment="1" applyProtection="1">
      <alignment horizontal="center" vertical="center" textRotation="90"/>
      <protection hidden="1"/>
    </xf>
    <xf numFmtId="0" fontId="198" fillId="0" borderId="61" xfId="0" applyFont="1" applyBorder="1" applyAlignment="1" applyProtection="1">
      <alignment horizontal="center" vertical="center" textRotation="90"/>
      <protection hidden="1"/>
    </xf>
    <xf numFmtId="0" fontId="96" fillId="0" borderId="77" xfId="0" applyFont="1" applyBorder="1" applyAlignment="1" applyProtection="1">
      <alignment horizontal="center" vertical="top" wrapText="1"/>
      <protection hidden="1"/>
    </xf>
    <xf numFmtId="0" fontId="96" fillId="0" borderId="12" xfId="0" applyFont="1" applyBorder="1" applyAlignment="1" applyProtection="1">
      <alignment horizontal="center" vertical="top" wrapText="1"/>
      <protection hidden="1"/>
    </xf>
    <xf numFmtId="0" fontId="96" fillId="0" borderId="86" xfId="0" applyFont="1" applyBorder="1" applyAlignment="1" applyProtection="1">
      <alignment horizontal="center" vertical="top" wrapText="1"/>
      <protection hidden="1"/>
    </xf>
    <xf numFmtId="1" fontId="81" fillId="0" borderId="87" xfId="0" applyNumberFormat="1" applyFont="1" applyBorder="1" applyAlignment="1" applyProtection="1">
      <alignment horizontal="center" vertical="center" wrapText="1"/>
      <protection hidden="1"/>
    </xf>
    <xf numFmtId="1" fontId="81" fillId="0" borderId="78" xfId="0" applyNumberFormat="1" applyFont="1" applyBorder="1" applyAlignment="1" applyProtection="1">
      <alignment horizontal="center" vertical="center" wrapText="1"/>
      <protection hidden="1"/>
    </xf>
    <xf numFmtId="1" fontId="81" fillId="0" borderId="77" xfId="0" applyNumberFormat="1" applyFont="1" applyBorder="1" applyAlignment="1" applyProtection="1">
      <alignment horizontal="center" vertical="center" wrapText="1"/>
      <protection hidden="1"/>
    </xf>
    <xf numFmtId="0" fontId="112" fillId="18" borderId="87" xfId="0" applyFont="1" applyFill="1" applyBorder="1" applyAlignment="1" applyProtection="1">
      <alignment horizontal="center" vertical="center" wrapText="1"/>
      <protection hidden="1"/>
    </xf>
    <xf numFmtId="0" fontId="112" fillId="18" borderId="78" xfId="0" applyFont="1" applyFill="1" applyBorder="1" applyAlignment="1" applyProtection="1">
      <alignment horizontal="center" vertical="center" wrapText="1"/>
      <protection hidden="1"/>
    </xf>
    <xf numFmtId="0" fontId="112" fillId="18" borderId="77" xfId="0" applyFont="1" applyFill="1" applyBorder="1" applyAlignment="1" applyProtection="1">
      <alignment horizontal="center" vertical="center" wrapText="1"/>
      <protection hidden="1"/>
    </xf>
    <xf numFmtId="191" fontId="44" fillId="0" borderId="25" xfId="0" applyNumberFormat="1" applyFont="1" applyBorder="1" applyAlignment="1" applyProtection="1">
      <alignment horizontal="left"/>
      <protection hidden="1"/>
    </xf>
    <xf numFmtId="191" fontId="44" fillId="0" borderId="0" xfId="0" applyNumberFormat="1" applyFont="1" applyAlignment="1" applyProtection="1">
      <alignment horizontal="left"/>
      <protection hidden="1"/>
    </xf>
    <xf numFmtId="0" fontId="81" fillId="0" borderId="87" xfId="0" applyFont="1" applyBorder="1" applyAlignment="1" applyProtection="1">
      <alignment horizontal="center" vertical="center" wrapText="1"/>
      <protection hidden="1"/>
    </xf>
    <xf numFmtId="0" fontId="81" fillId="0" borderId="78" xfId="0" applyFont="1" applyBorder="1" applyAlignment="1" applyProtection="1">
      <alignment horizontal="center" vertical="center" wrapText="1"/>
      <protection hidden="1"/>
    </xf>
    <xf numFmtId="0" fontId="201" fillId="0" borderId="87" xfId="0" applyFont="1" applyBorder="1" applyAlignment="1" applyProtection="1">
      <alignment horizontal="center" vertical="center"/>
      <protection hidden="1"/>
    </xf>
    <xf numFmtId="0" fontId="201" fillId="0" borderId="78" xfId="0" applyFont="1" applyBorder="1" applyAlignment="1" applyProtection="1">
      <alignment horizontal="center" vertical="center"/>
      <protection hidden="1"/>
    </xf>
    <xf numFmtId="0" fontId="201" fillId="0" borderId="77" xfId="0" applyFont="1" applyBorder="1" applyAlignment="1" applyProtection="1">
      <alignment horizontal="center" vertical="center"/>
      <protection hidden="1"/>
    </xf>
    <xf numFmtId="0" fontId="44" fillId="0" borderId="25" xfId="0" applyFont="1" applyBorder="1" applyAlignment="1" applyProtection="1">
      <alignment horizontal="left"/>
      <protection hidden="1"/>
    </xf>
    <xf numFmtId="0" fontId="44" fillId="0" borderId="0" xfId="0" applyFont="1" applyAlignment="1" applyProtection="1">
      <alignment horizontal="left"/>
      <protection hidden="1"/>
    </xf>
    <xf numFmtId="0" fontId="23" fillId="21" borderId="61" xfId="0" applyFont="1" applyFill="1" applyBorder="1" applyAlignment="1" applyProtection="1">
      <alignment horizontal="center" vertical="center"/>
      <protection hidden="1"/>
    </xf>
    <xf numFmtId="0" fontId="150" fillId="0" borderId="91" xfId="0" applyFont="1" applyBorder="1" applyAlignment="1">
      <alignment horizontal="center" vertical="center"/>
    </xf>
    <xf numFmtId="0" fontId="150" fillId="0" borderId="78" xfId="0" applyFont="1" applyBorder="1" applyAlignment="1">
      <alignment horizontal="center" vertical="center"/>
    </xf>
    <xf numFmtId="0" fontId="150" fillId="0" borderId="77" xfId="0" applyFont="1" applyBorder="1" applyAlignment="1">
      <alignment horizontal="center" vertical="center"/>
    </xf>
    <xf numFmtId="0" fontId="143" fillId="4" borderId="12" xfId="0" applyFont="1" applyFill="1" applyBorder="1" applyAlignment="1" applyProtection="1">
      <alignment horizontal="center" vertical="center"/>
      <protection hidden="1"/>
    </xf>
    <xf numFmtId="164" fontId="23" fillId="21" borderId="12" xfId="0" applyNumberFormat="1" applyFont="1" applyFill="1" applyBorder="1" applyAlignment="1" applyProtection="1">
      <alignment horizontal="center" vertical="center"/>
      <protection hidden="1"/>
    </xf>
    <xf numFmtId="0" fontId="23" fillId="21" borderId="12" xfId="0" applyFont="1" applyFill="1" applyBorder="1" applyAlignment="1" applyProtection="1">
      <alignment horizontal="center" vertical="center"/>
      <protection hidden="1"/>
    </xf>
    <xf numFmtId="164" fontId="143" fillId="4" borderId="12" xfId="0" applyNumberFormat="1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left" vertical="center"/>
      <protection hidden="1"/>
    </xf>
    <xf numFmtId="0" fontId="13" fillId="2" borderId="4" xfId="0" applyFont="1" applyFill="1" applyBorder="1" applyAlignment="1" applyProtection="1">
      <alignment horizontal="left" vertical="center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13" fillId="5" borderId="4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</cellXfs>
  <cellStyles count="12">
    <cellStyle name="40% - Accent4 2" xfId="7" xr:uid="{00000000-0005-0000-0000-000000000000}"/>
    <cellStyle name="Comma" xfId="9" builtinId="3"/>
    <cellStyle name="Comma 2" xfId="5" xr:uid="{00000000-0005-0000-0000-000002000000}"/>
    <cellStyle name="Comma 2 2" xfId="11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3 2" xfId="3" xr:uid="{00000000-0005-0000-0000-000007000000}"/>
    <cellStyle name="Normal 4" xfId="10" xr:uid="{00000000-0005-0000-0000-000008000000}"/>
    <cellStyle name="Percent" xfId="2" builtinId="5"/>
    <cellStyle name="Percent 2" xfId="8" xr:uid="{00000000-0005-0000-0000-00000A000000}"/>
    <cellStyle name="Percent 2 2" xfId="4" xr:uid="{00000000-0005-0000-0000-00000B000000}"/>
  </cellStyles>
  <dxfs count="4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b/>
        <i val="0"/>
      </font>
    </dxf>
    <dxf>
      <font>
        <b/>
        <i val="0"/>
        <strike val="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b/>
        <i val="0"/>
      </font>
      <fill>
        <patternFill>
          <bgColor rgb="FF0AE8A3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strike val="0"/>
        <color theme="1"/>
      </font>
      <fill>
        <patternFill>
          <bgColor theme="0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2" tint="-9.9948118533890809E-2"/>
      </font>
      <fill>
        <patternFill>
          <bgColor theme="0"/>
        </patternFill>
      </fill>
      <border>
        <left style="hair">
          <color theme="2" tint="-9.9948118533890809E-2"/>
        </left>
        <right style="hair">
          <color theme="2" tint="-9.9948118533890809E-2"/>
        </right>
        <top style="hair">
          <color theme="2" tint="-9.9948118533890809E-2"/>
        </top>
        <bottom style="hair">
          <color theme="2" tint="-9.9948118533890809E-2"/>
        </bottom>
      </border>
    </dxf>
  </dxfs>
  <tableStyles count="0" defaultTableStyle="TableStyleMedium2" defaultPivotStyle="PivotStyleLight16"/>
  <colors>
    <mruColors>
      <color rgb="FF0000FF"/>
      <color rgb="FF99FFCC"/>
      <color rgb="FFFF0066"/>
      <color rgb="FFFFFF99"/>
      <color rgb="FFFF9966"/>
      <color rgb="FF0AE8A3"/>
      <color rgb="FF0066FF"/>
      <color rgb="FF3333FF"/>
      <color rgb="FF00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18</xdr:row>
      <xdr:rowOff>125699</xdr:rowOff>
    </xdr:from>
    <xdr:to>
      <xdr:col>4</xdr:col>
      <xdr:colOff>1409700</xdr:colOff>
      <xdr:row>21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00D20-630B-1E11-8C97-888893E4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4450049"/>
          <a:ext cx="552450" cy="588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845D471-0CBF-4792-8737-DDC261ACCA82}">
  <we:reference id="wa104380526" version="1.0.33.0" store="en-US" storeType="OMEX"/>
  <we:alternateReferences>
    <we:reference id="WA104380526" version="1.0.33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99"/>
    <pageSetUpPr fitToPage="1"/>
  </sheetPr>
  <dimension ref="B1:BP85"/>
  <sheetViews>
    <sheetView showGridLines="0" showRowColHeaders="0" showZeros="0" tabSelected="1" zoomScaleNormal="100" zoomScaleSheetLayoutView="70" workbookViewId="0">
      <pane xSplit="1" ySplit="2" topLeftCell="B3" activePane="bottomRight" state="frozen"/>
      <selection pane="bottomLeft" activeCell="A3" sqref="A3"/>
      <selection pane="topRight" activeCell="B1" sqref="B1"/>
      <selection pane="bottomRight" activeCell="C39" sqref="C39"/>
    </sheetView>
  </sheetViews>
  <sheetFormatPr defaultColWidth="8.609375" defaultRowHeight="15.75" customHeight="1" x14ac:dyDescent="0.25"/>
  <cols>
    <col min="1" max="1" width="1.74609375" style="1" customWidth="1" collapsed="1"/>
    <col min="2" max="2" width="13.046875" style="1" customWidth="1" collapsed="1"/>
    <col min="3" max="3" width="13.046875" style="1" customWidth="1"/>
    <col min="4" max="4" width="13.31640625" style="4" customWidth="1" collapsed="1"/>
    <col min="5" max="5" width="13.31640625" style="1" customWidth="1" collapsed="1"/>
    <col min="6" max="6" width="3.2265625" style="1" customWidth="1" collapsed="1"/>
    <col min="7" max="7" width="11.703125" style="3" customWidth="1"/>
    <col min="8" max="11" width="9.28125" style="1" customWidth="1"/>
    <col min="12" max="12" width="3.2265625" style="1" customWidth="1"/>
    <col min="13" max="14" width="10.76171875" style="65" customWidth="1"/>
    <col min="15" max="15" width="10.76171875" style="66" customWidth="1"/>
    <col min="16" max="16" width="10.76171875" style="65" customWidth="1"/>
    <col min="17" max="17" width="13.71875" style="65" customWidth="1"/>
    <col min="18" max="18" width="3.2265625" style="65" customWidth="1"/>
    <col min="19" max="19" width="3.765625" style="65" customWidth="1"/>
    <col min="20" max="20" width="11.703125" style="66" customWidth="1"/>
    <col min="21" max="22" width="11.703125" style="65" customWidth="1"/>
    <col min="23" max="23" width="11.703125" style="67" customWidth="1"/>
    <col min="24" max="24" width="3.765625" style="65" customWidth="1"/>
    <col min="25" max="26" width="11.703125" style="1" customWidth="1"/>
    <col min="27" max="27" width="6.72265625" style="1" customWidth="1"/>
    <col min="28" max="28" width="12.64453125" style="1" customWidth="1"/>
    <col min="29" max="29" width="3.765625" style="1" customWidth="1"/>
    <col min="30" max="30" width="1.74609375" style="1" customWidth="1"/>
    <col min="31" max="58" width="8.609375" style="1"/>
    <col min="59" max="59" width="8.609375" style="1" collapsed="1"/>
    <col min="60" max="68" width="8.609375" style="1"/>
    <col min="69" max="16384" width="8.609375" style="1" collapsed="1"/>
  </cols>
  <sheetData>
    <row r="1" spans="2:30" ht="5.0999999999999996" customHeight="1" thickBot="1" x14ac:dyDescent="0.3">
      <c r="B1" s="776"/>
      <c r="C1" s="776"/>
      <c r="D1" s="777"/>
      <c r="E1" s="776"/>
      <c r="F1" s="776"/>
      <c r="G1" s="778"/>
      <c r="H1" s="776"/>
      <c r="I1" s="776"/>
      <c r="J1" s="776"/>
      <c r="K1" s="776"/>
      <c r="L1" s="776"/>
      <c r="Y1" s="776"/>
      <c r="Z1" s="776"/>
      <c r="AA1" s="776"/>
      <c r="AB1" s="776"/>
      <c r="AC1" s="776"/>
      <c r="AD1" s="776"/>
    </row>
    <row r="2" spans="2:30" ht="42.95" customHeight="1" thickTop="1" thickBot="1" x14ac:dyDescent="0.65">
      <c r="B2" s="1129" t="s">
        <v>738</v>
      </c>
      <c r="C2" s="1130"/>
      <c r="D2" s="1130"/>
      <c r="E2" s="1131"/>
      <c r="F2" s="776"/>
      <c r="G2" s="115" t="s">
        <v>0</v>
      </c>
      <c r="H2" s="769" t="s">
        <v>1</v>
      </c>
      <c r="I2" s="116" t="s">
        <v>2</v>
      </c>
      <c r="J2" s="116" t="s">
        <v>3</v>
      </c>
      <c r="K2" s="117" t="s">
        <v>4</v>
      </c>
      <c r="L2" s="776"/>
      <c r="M2" s="1168" t="s">
        <v>5</v>
      </c>
      <c r="N2" s="1169"/>
      <c r="O2" s="1169"/>
      <c r="P2" s="1169"/>
      <c r="Q2" s="1170"/>
      <c r="S2" s="142"/>
      <c r="T2" s="1086" t="str">
        <f>"OLD REGIME ("&amp;KEY!BS18&amp;")"</f>
        <v>OLD REGIME (General Citizen)</v>
      </c>
      <c r="U2" s="1086"/>
      <c r="V2" s="1086"/>
      <c r="W2" s="1086"/>
      <c r="X2" s="148"/>
      <c r="Y2" s="1086" t="str">
        <f>"NEW REGIME ("&amp;KEY!BS18&amp;")"</f>
        <v>NEW REGIME (General Citizen)</v>
      </c>
      <c r="Z2" s="1086"/>
      <c r="AA2" s="1086"/>
      <c r="AB2" s="1086"/>
      <c r="AC2" s="146"/>
      <c r="AD2" s="776"/>
    </row>
    <row r="3" spans="2:30" s="2" customFormat="1" ht="18" customHeight="1" thickTop="1" x14ac:dyDescent="0.2">
      <c r="B3" s="1132" t="s">
        <v>736</v>
      </c>
      <c r="C3" s="1133"/>
      <c r="D3" s="1140">
        <v>57100</v>
      </c>
      <c r="E3" s="1141"/>
      <c r="F3" s="779"/>
      <c r="G3" s="549">
        <v>45717</v>
      </c>
      <c r="H3" s="1002"/>
      <c r="I3" s="780"/>
      <c r="J3" s="780"/>
      <c r="K3" s="781"/>
      <c r="L3" s="779"/>
      <c r="M3" s="1102" t="s">
        <v>6</v>
      </c>
      <c r="N3" s="1103"/>
      <c r="O3" s="1104"/>
      <c r="P3" s="1104"/>
      <c r="Q3" s="782"/>
      <c r="R3" s="779"/>
      <c r="S3" s="143"/>
      <c r="T3" s="156" t="s">
        <v>7</v>
      </c>
      <c r="U3" s="157"/>
      <c r="V3" s="158" t="s">
        <v>8</v>
      </c>
      <c r="W3" s="510">
        <f>KEY!BS4</f>
        <v>978405</v>
      </c>
      <c r="X3" s="783"/>
      <c r="Y3" s="156" t="str">
        <f>T3</f>
        <v>GROSS INCOME</v>
      </c>
      <c r="Z3" s="157"/>
      <c r="AA3" s="158" t="s">
        <v>8</v>
      </c>
      <c r="AB3" s="510">
        <f>W3</f>
        <v>978405</v>
      </c>
      <c r="AC3" s="147"/>
      <c r="AD3" s="779"/>
    </row>
    <row r="4" spans="2:30" ht="18" customHeight="1" x14ac:dyDescent="0.25">
      <c r="B4" s="1134"/>
      <c r="C4" s="1135"/>
      <c r="D4" s="1142"/>
      <c r="E4" s="1143"/>
      <c r="F4" s="776"/>
      <c r="G4" s="549">
        <f>EDATE(G3,1)</f>
        <v>45748</v>
      </c>
      <c r="H4" s="1002"/>
      <c r="I4" s="780"/>
      <c r="J4" s="780"/>
      <c r="K4" s="781"/>
      <c r="L4" s="776"/>
      <c r="M4" s="1102" t="s">
        <v>9</v>
      </c>
      <c r="N4" s="1103"/>
      <c r="O4" s="1104"/>
      <c r="P4" s="1104"/>
      <c r="Q4" s="782"/>
      <c r="S4" s="143"/>
      <c r="T4" s="159" t="s">
        <v>10</v>
      </c>
      <c r="U4" s="150"/>
      <c r="V4" s="151" t="s">
        <v>8</v>
      </c>
      <c r="W4" s="511">
        <f>KEY!BS5+KEY!BS6</f>
        <v>185566</v>
      </c>
      <c r="X4" s="783"/>
      <c r="Y4" s="159" t="str">
        <f>T4</f>
        <v>ELIGIBLE DEDUCTIONS</v>
      </c>
      <c r="Z4" s="150"/>
      <c r="AA4" s="151" t="s">
        <v>8</v>
      </c>
      <c r="AB4" s="511">
        <f>KEY!BS5+25000</f>
        <v>75000</v>
      </c>
      <c r="AC4" s="147"/>
      <c r="AD4" s="776"/>
    </row>
    <row r="5" spans="2:30" ht="18" customHeight="1" x14ac:dyDescent="0.25">
      <c r="B5" s="1136" t="s">
        <v>722</v>
      </c>
      <c r="C5" s="1137"/>
      <c r="D5" s="1144" t="s">
        <v>11</v>
      </c>
      <c r="E5" s="1145"/>
      <c r="F5" s="776"/>
      <c r="G5" s="549">
        <f t="shared" ref="G5:G14" si="0">EDATE(G4,1)</f>
        <v>45778</v>
      </c>
      <c r="H5" s="1002"/>
      <c r="I5" s="780"/>
      <c r="J5" s="780"/>
      <c r="K5" s="781"/>
      <c r="L5" s="776"/>
      <c r="M5" s="1102" t="s">
        <v>12</v>
      </c>
      <c r="N5" s="1103"/>
      <c r="O5" s="1104"/>
      <c r="P5" s="1104"/>
      <c r="Q5" s="782"/>
      <c r="S5" s="143"/>
      <c r="T5" s="160" t="s">
        <v>13</v>
      </c>
      <c r="U5" s="141"/>
      <c r="V5" s="149" t="s">
        <v>8</v>
      </c>
      <c r="W5" s="512">
        <f>KEY!BS11</f>
        <v>792840</v>
      </c>
      <c r="X5" s="783"/>
      <c r="Y5" s="160" t="str">
        <f>T5</f>
        <v>NET TAXABLE INCOME</v>
      </c>
      <c r="Z5" s="141"/>
      <c r="AA5" s="149" t="s">
        <v>8</v>
      </c>
      <c r="AB5" s="512">
        <f>KEY!BS10</f>
        <v>903410</v>
      </c>
      <c r="AC5" s="147"/>
      <c r="AD5" s="776"/>
    </row>
    <row r="6" spans="2:30" ht="18" customHeight="1" thickBot="1" x14ac:dyDescent="0.3">
      <c r="B6" s="1138"/>
      <c r="C6" s="1139"/>
      <c r="D6" s="1146"/>
      <c r="E6" s="1147"/>
      <c r="F6" s="776"/>
      <c r="G6" s="549">
        <f t="shared" si="0"/>
        <v>45809</v>
      </c>
      <c r="H6" s="1002"/>
      <c r="I6" s="780"/>
      <c r="J6" s="780"/>
      <c r="K6" s="781"/>
      <c r="L6" s="776"/>
      <c r="M6" s="1102" t="s">
        <v>14</v>
      </c>
      <c r="N6" s="1103"/>
      <c r="O6" s="1104"/>
      <c r="P6" s="1104"/>
      <c r="Q6" s="782"/>
      <c r="S6" s="143"/>
      <c r="T6" s="161" t="s">
        <v>15</v>
      </c>
      <c r="U6" s="154" t="s">
        <v>16</v>
      </c>
      <c r="V6" s="155" t="s">
        <v>17</v>
      </c>
      <c r="W6" s="162" t="s">
        <v>18</v>
      </c>
      <c r="X6" s="784"/>
      <c r="Y6" s="161" t="s">
        <v>15</v>
      </c>
      <c r="Z6" s="154" t="s">
        <v>16</v>
      </c>
      <c r="AA6" s="155" t="s">
        <v>17</v>
      </c>
      <c r="AB6" s="162" t="s">
        <v>18</v>
      </c>
      <c r="AC6" s="147"/>
      <c r="AD6" s="776"/>
    </row>
    <row r="7" spans="2:30" ht="18" customHeight="1" thickTop="1" thickBot="1" x14ac:dyDescent="0.3">
      <c r="B7" s="1148" t="s">
        <v>718</v>
      </c>
      <c r="C7" s="1148"/>
      <c r="D7" s="1148"/>
      <c r="E7" s="1148"/>
      <c r="F7" s="776"/>
      <c r="G7" s="549">
        <f t="shared" si="0"/>
        <v>45839</v>
      </c>
      <c r="H7" s="1002"/>
      <c r="I7" s="780"/>
      <c r="J7" s="780"/>
      <c r="K7" s="781"/>
      <c r="L7" s="776"/>
      <c r="M7" s="1102" t="s">
        <v>19</v>
      </c>
      <c r="N7" s="1103"/>
      <c r="O7" s="1104"/>
      <c r="P7" s="1104"/>
      <c r="Q7" s="782"/>
      <c r="S7" s="143"/>
      <c r="T7" s="163" t="s">
        <v>20</v>
      </c>
      <c r="U7" s="502">
        <f>IF(AGE&lt;=60,KEY!BA2,IF(AGE&gt;80,KEY!BA20,KEY!BA11))</f>
        <v>250000</v>
      </c>
      <c r="V7" s="120">
        <f>IF(AGE&lt;=60,KEY!AZ2,IF(AGE&gt;80,KEY!AZ20,KEY!AZ11))</f>
        <v>0</v>
      </c>
      <c r="W7" s="504">
        <f>IF(AGE&lt;=60,KEY!BB2,IF(AGE&gt;80,KEY!BB20,KEY!BB11))</f>
        <v>0</v>
      </c>
      <c r="X7" s="784"/>
      <c r="Y7" s="163" t="s">
        <v>20</v>
      </c>
      <c r="Z7" s="502">
        <f>KEY!BG2</f>
        <v>400000</v>
      </c>
      <c r="AA7" s="120">
        <f>KEY!BF2</f>
        <v>0</v>
      </c>
      <c r="AB7" s="504">
        <f>ROUND(Z7*AA7,0)</f>
        <v>0</v>
      </c>
      <c r="AC7" s="147"/>
      <c r="AD7" s="776"/>
    </row>
    <row r="8" spans="2:30" ht="18" customHeight="1" thickTop="1" x14ac:dyDescent="0.25">
      <c r="B8" s="1155" t="s">
        <v>733</v>
      </c>
      <c r="C8" s="1156"/>
      <c r="D8" s="1157"/>
      <c r="E8" s="1153" t="s">
        <v>51</v>
      </c>
      <c r="F8" s="776"/>
      <c r="G8" s="549">
        <f t="shared" si="0"/>
        <v>45870</v>
      </c>
      <c r="H8" s="1002"/>
      <c r="I8" s="780"/>
      <c r="J8" s="780"/>
      <c r="K8" s="781"/>
      <c r="L8" s="776"/>
      <c r="M8" s="1102" t="s">
        <v>22</v>
      </c>
      <c r="N8" s="1103"/>
      <c r="O8" s="1104"/>
      <c r="P8" s="1104"/>
      <c r="Q8" s="782"/>
      <c r="S8" s="143"/>
      <c r="T8" s="163" t="s">
        <v>23</v>
      </c>
      <c r="U8" s="502">
        <f>IF(AGE&lt;=60,KEY!BA3,IF(AGE&gt;80,KEY!BA21,KEY!BA12))</f>
        <v>250000</v>
      </c>
      <c r="V8" s="120">
        <f>IF(AGE&lt;=60,KEY!AZ3,IF(AGE&gt;80,KEY!AZ21,KEY!AZ12))</f>
        <v>0.05</v>
      </c>
      <c r="W8" s="504">
        <f>IF(AGE&lt;=60,KEY!BB3,IF(AGE&gt;80,KEY!BB21,KEY!BB12))</f>
        <v>12500</v>
      </c>
      <c r="X8" s="784"/>
      <c r="Y8" s="163" t="s">
        <v>23</v>
      </c>
      <c r="Z8" s="502">
        <f>KEY!BG3</f>
        <v>400000</v>
      </c>
      <c r="AA8" s="120">
        <f>KEY!BF3</f>
        <v>0.05</v>
      </c>
      <c r="AB8" s="504">
        <f>ROUND(Z8*AA8,0)</f>
        <v>20000</v>
      </c>
      <c r="AC8" s="147"/>
      <c r="AD8" s="776"/>
    </row>
    <row r="9" spans="2:30" ht="18" customHeight="1" thickBot="1" x14ac:dyDescent="0.3">
      <c r="B9" s="1158"/>
      <c r="C9" s="1159"/>
      <c r="D9" s="1160"/>
      <c r="E9" s="1154"/>
      <c r="F9" s="776"/>
      <c r="G9" s="549">
        <f t="shared" si="0"/>
        <v>45901</v>
      </c>
      <c r="H9" s="1002"/>
      <c r="I9" s="780"/>
      <c r="J9" s="780"/>
      <c r="K9" s="781"/>
      <c r="L9" s="776"/>
      <c r="M9" s="1102" t="s">
        <v>26</v>
      </c>
      <c r="N9" s="1103"/>
      <c r="O9" s="1104"/>
      <c r="P9" s="1104"/>
      <c r="Q9" s="782"/>
      <c r="S9" s="143"/>
      <c r="T9" s="163" t="s">
        <v>27</v>
      </c>
      <c r="U9" s="502">
        <f>IF(AGE&lt;=60,KEY!BA4,IF(AGE&gt;80,KEY!BA22,KEY!BA13))</f>
        <v>292840</v>
      </c>
      <c r="V9" s="120">
        <f>IF(AGE&lt;=60,KEY!AZ4,IF(AGE&gt;80,KEY!AZ22,KEY!AZ13))</f>
        <v>0.2</v>
      </c>
      <c r="W9" s="504">
        <f>IF(AGE&lt;=60,KEY!BB4,IF(AGE&gt;80,KEY!BB22,KEY!BB13))</f>
        <v>58568</v>
      </c>
      <c r="X9" s="784"/>
      <c r="Y9" s="163" t="s">
        <v>27</v>
      </c>
      <c r="Z9" s="502">
        <f>KEY!BG4</f>
        <v>103410</v>
      </c>
      <c r="AA9" s="120">
        <f>KEY!BF4</f>
        <v>0.1</v>
      </c>
      <c r="AB9" s="504">
        <f t="shared" ref="AB9:AB12" si="1">ROUND(Z9*AA9,0)</f>
        <v>10341</v>
      </c>
      <c r="AC9" s="147"/>
      <c r="AD9" s="776"/>
    </row>
    <row r="10" spans="2:30" ht="18" customHeight="1" thickTop="1" thickBot="1" x14ac:dyDescent="0.3">
      <c r="B10" s="1167" t="s">
        <v>732</v>
      </c>
      <c r="C10" s="1167"/>
      <c r="D10" s="1167"/>
      <c r="E10" s="1167"/>
      <c r="F10" s="776"/>
      <c r="G10" s="549">
        <f t="shared" si="0"/>
        <v>45931</v>
      </c>
      <c r="H10" s="1002"/>
      <c r="I10" s="780"/>
      <c r="J10" s="780"/>
      <c r="K10" s="781"/>
      <c r="L10" s="776"/>
      <c r="M10" s="1033" t="s">
        <v>29</v>
      </c>
      <c r="N10" s="1034"/>
      <c r="O10" s="1035"/>
      <c r="P10" s="1035"/>
      <c r="Q10" s="782"/>
      <c r="S10" s="143"/>
      <c r="T10" s="163" t="s">
        <v>30</v>
      </c>
      <c r="U10" s="502">
        <f>IF(AGE&lt;=60,KEY!BA5,IF(AGE&gt;80,KEY!BA23,KEY!BA14))</f>
        <v>0</v>
      </c>
      <c r="V10" s="120">
        <f>IF(AGE&lt;=60,KEY!AZ5,IF(AGE&gt;80,KEY!AZ23,KEY!AZ14))</f>
        <v>0.3</v>
      </c>
      <c r="W10" s="504">
        <f>IF(AGE&lt;=60,KEY!BB5,IF(AGE&gt;80,KEY!BB23,KEY!BB14))</f>
        <v>0</v>
      </c>
      <c r="X10" s="784"/>
      <c r="Y10" s="163" t="s">
        <v>30</v>
      </c>
      <c r="Z10" s="502">
        <f>KEY!BG5</f>
        <v>0</v>
      </c>
      <c r="AA10" s="120">
        <f>KEY!BF5</f>
        <v>0.15</v>
      </c>
      <c r="AB10" s="504">
        <f t="shared" si="1"/>
        <v>0</v>
      </c>
      <c r="AC10" s="147"/>
      <c r="AD10" s="776"/>
    </row>
    <row r="11" spans="2:30" ht="18" customHeight="1" thickTop="1" x14ac:dyDescent="0.25">
      <c r="B11" s="351" t="s">
        <v>21</v>
      </c>
      <c r="C11" s="785"/>
      <c r="D11" s="1149">
        <v>45962</v>
      </c>
      <c r="E11" s="1150"/>
      <c r="F11" s="776"/>
      <c r="G11" s="549">
        <f t="shared" si="0"/>
        <v>45962</v>
      </c>
      <c r="H11" s="1002"/>
      <c r="I11" s="780"/>
      <c r="J11" s="780"/>
      <c r="K11" s="781"/>
      <c r="L11" s="776"/>
      <c r="M11" s="1033" t="s">
        <v>33</v>
      </c>
      <c r="N11" s="1034"/>
      <c r="O11" s="1035"/>
      <c r="P11" s="1035"/>
      <c r="Q11" s="782"/>
      <c r="S11" s="143"/>
      <c r="T11" s="163" t="s">
        <v>34</v>
      </c>
      <c r="U11" s="502">
        <f>IF(AGE&lt;=60,KEY!BA6,IF(AGE&gt;80,KEY!BA24,KEY!BA15))</f>
        <v>0</v>
      </c>
      <c r="V11" s="120" t="str">
        <f>IF(AGE&lt;=60,KEY!AZ6,IF(AGE&gt;80,KEY!AZ24,KEY!AZ15))</f>
        <v>-</v>
      </c>
      <c r="W11" s="504" t="str">
        <f>IF(AGE&lt;=60,KEY!BB6,IF(AGE&gt;80,KEY!BB24,KEY!BB15))</f>
        <v>-</v>
      </c>
      <c r="X11" s="784"/>
      <c r="Y11" s="163" t="s">
        <v>34</v>
      </c>
      <c r="Z11" s="502">
        <f>KEY!BG6</f>
        <v>0</v>
      </c>
      <c r="AA11" s="120">
        <f>KEY!BF6</f>
        <v>0.2</v>
      </c>
      <c r="AB11" s="504">
        <f t="shared" si="1"/>
        <v>0</v>
      </c>
      <c r="AC11" s="147"/>
      <c r="AD11" s="776"/>
    </row>
    <row r="12" spans="2:30" ht="18" customHeight="1" x14ac:dyDescent="0.25">
      <c r="B12" s="352" t="s">
        <v>24</v>
      </c>
      <c r="C12" s="786"/>
      <c r="D12" s="552" t="s">
        <v>25</v>
      </c>
      <c r="E12" s="102">
        <v>1</v>
      </c>
      <c r="F12" s="776"/>
      <c r="G12" s="549">
        <f t="shared" si="0"/>
        <v>45992</v>
      </c>
      <c r="H12" s="1002"/>
      <c r="I12" s="780"/>
      <c r="J12" s="780"/>
      <c r="K12" s="781"/>
      <c r="L12" s="776"/>
      <c r="M12" s="1033" t="s">
        <v>37</v>
      </c>
      <c r="N12" s="1034"/>
      <c r="O12" s="1035"/>
      <c r="P12" s="1035"/>
      <c r="Q12" s="782"/>
      <c r="S12" s="143"/>
      <c r="T12" s="163" t="s">
        <v>38</v>
      </c>
      <c r="U12" s="502">
        <f>IF(AGE&lt;=60,KEY!BA7,IF(AGE&gt;80,KEY!BA25,KEY!BA16))</f>
        <v>0</v>
      </c>
      <c r="V12" s="120" t="str">
        <f>IF(AGE&lt;=60,KEY!AZ7,IF(AGE&gt;80,KEY!AZ25,KEY!AZ16))</f>
        <v>-</v>
      </c>
      <c r="W12" s="504">
        <f>IF(AGE&lt;=60,KEY!BB7,IF(AGE&gt;80,KEY!BB25,KEY!BB16))</f>
        <v>0</v>
      </c>
      <c r="X12" s="784"/>
      <c r="Y12" s="163" t="s">
        <v>38</v>
      </c>
      <c r="Z12" s="502">
        <f>KEY!BG7</f>
        <v>0</v>
      </c>
      <c r="AA12" s="120">
        <f>KEY!BF7</f>
        <v>0.25</v>
      </c>
      <c r="AB12" s="504">
        <f t="shared" si="1"/>
        <v>0</v>
      </c>
      <c r="AC12" s="147"/>
      <c r="AD12" s="776"/>
    </row>
    <row r="13" spans="2:30" ht="18" customHeight="1" x14ac:dyDescent="0.25">
      <c r="B13" s="353" t="s">
        <v>28</v>
      </c>
      <c r="C13" s="354"/>
      <c r="D13" s="552" t="s">
        <v>25</v>
      </c>
      <c r="E13" s="102">
        <v>30</v>
      </c>
      <c r="F13" s="776"/>
      <c r="G13" s="549">
        <f t="shared" si="0"/>
        <v>46023</v>
      </c>
      <c r="H13" s="1002"/>
      <c r="I13" s="780"/>
      <c r="J13" s="780"/>
      <c r="K13" s="781"/>
      <c r="L13" s="776"/>
      <c r="M13" s="1093" t="s">
        <v>41</v>
      </c>
      <c r="N13" s="1094"/>
      <c r="O13" s="1095"/>
      <c r="P13" s="1095"/>
      <c r="Q13" s="787"/>
      <c r="S13" s="143"/>
      <c r="T13" s="163" t="s">
        <v>42</v>
      </c>
      <c r="U13" s="502"/>
      <c r="V13" s="120"/>
      <c r="W13" s="504"/>
      <c r="X13" s="415"/>
      <c r="Y13" s="163" t="s">
        <v>42</v>
      </c>
      <c r="Z13" s="502">
        <f>KEY!BG8</f>
        <v>0</v>
      </c>
      <c r="AA13" s="120">
        <f>KEY!BF8</f>
        <v>0.3</v>
      </c>
      <c r="AB13" s="504">
        <f t="shared" ref="AB13" si="2">ROUND(Z13*AA13,0)</f>
        <v>0</v>
      </c>
      <c r="AC13" s="788"/>
      <c r="AD13" s="776"/>
    </row>
    <row r="14" spans="2:30" ht="18" customHeight="1" thickBot="1" x14ac:dyDescent="0.3">
      <c r="B14" s="580" t="s">
        <v>43</v>
      </c>
      <c r="C14" s="357"/>
      <c r="D14" s="1151" t="s">
        <v>44</v>
      </c>
      <c r="E14" s="1152"/>
      <c r="F14" s="776"/>
      <c r="G14" s="550">
        <f t="shared" si="0"/>
        <v>46054</v>
      </c>
      <c r="H14" s="1003"/>
      <c r="I14" s="789"/>
      <c r="J14" s="789"/>
      <c r="K14" s="790"/>
      <c r="L14" s="776"/>
      <c r="M14" s="1041" t="s">
        <v>45</v>
      </c>
      <c r="N14" s="1042"/>
      <c r="O14" s="1042"/>
      <c r="P14" s="1043"/>
      <c r="Q14" s="545" t="s">
        <v>46</v>
      </c>
      <c r="S14" s="143"/>
      <c r="T14" s="164" t="s">
        <v>47</v>
      </c>
      <c r="U14" s="503">
        <f>SUM(U7:U13)</f>
        <v>792840</v>
      </c>
      <c r="V14" s="153" t="s">
        <v>8</v>
      </c>
      <c r="W14" s="505">
        <f>SUM(W7:W13)</f>
        <v>71068</v>
      </c>
      <c r="X14" s="783"/>
      <c r="Y14" s="164" t="s">
        <v>47</v>
      </c>
      <c r="Z14" s="503">
        <f>SUM(Z7:Z13)</f>
        <v>903410</v>
      </c>
      <c r="AA14" s="153" t="s">
        <v>8</v>
      </c>
      <c r="AB14" s="505">
        <f>SUM(AB7:AB13)</f>
        <v>30341</v>
      </c>
      <c r="AC14" s="147"/>
      <c r="AD14" s="776"/>
    </row>
    <row r="15" spans="2:30" ht="18" customHeight="1" thickTop="1" thickBot="1" x14ac:dyDescent="0.3">
      <c r="F15" s="776"/>
      <c r="G15" s="974">
        <f>G14</f>
        <v>46054</v>
      </c>
      <c r="H15" s="1001">
        <f>IF($D$26="OLD",W21-SUM(H3:H13),
IF($D$26="NEW",AB21-SUM(H3:H13),
(MIN($W$21,$AB$21)-SUM(H3:H13))))</f>
        <v>0</v>
      </c>
      <c r="I15" s="776"/>
      <c r="J15" s="776"/>
      <c r="K15" s="776"/>
      <c r="L15" s="776"/>
      <c r="M15" s="744"/>
      <c r="N15" s="744"/>
      <c r="O15" s="744"/>
      <c r="P15" s="744"/>
      <c r="Q15" s="744"/>
      <c r="S15" s="143"/>
      <c r="T15" s="723" t="s">
        <v>48</v>
      </c>
      <c r="U15" s="152"/>
      <c r="V15" s="153"/>
      <c r="W15" s="506">
        <f>KEY!BM31</f>
        <v>0</v>
      </c>
      <c r="X15" s="784"/>
      <c r="Y15" s="723" t="str">
        <f t="shared" ref="Y15" si="3">T15</f>
        <v>LESS : Rebate 87(A)</v>
      </c>
      <c r="Z15" s="152"/>
      <c r="AA15" s="791"/>
      <c r="AB15" s="506">
        <f>KEY!BN31</f>
        <v>30341</v>
      </c>
      <c r="AC15" s="147"/>
      <c r="AD15" s="776"/>
    </row>
    <row r="16" spans="2:30" ht="18" customHeight="1" thickTop="1" thickBot="1" x14ac:dyDescent="0.3">
      <c r="B16" s="966" t="s">
        <v>31</v>
      </c>
      <c r="C16" s="967"/>
      <c r="D16" s="968" t="s">
        <v>32</v>
      </c>
      <c r="E16" s="969">
        <f>CEILING(('ANNEXURE II'!X7+'ANNEXURE II'!X4)/E18,100)</f>
        <v>13200</v>
      </c>
      <c r="F16" s="776"/>
      <c r="G16" s="1024" t="s">
        <v>50</v>
      </c>
      <c r="H16" s="1024"/>
      <c r="I16" s="1024"/>
      <c r="J16" s="1024"/>
      <c r="K16" s="1024"/>
      <c r="L16" s="776"/>
      <c r="P16" s="964"/>
      <c r="S16" s="143"/>
      <c r="T16" s="165" t="s">
        <v>52</v>
      </c>
      <c r="U16" s="792"/>
      <c r="V16" s="121"/>
      <c r="W16" s="507">
        <f>W14-W15</f>
        <v>71068</v>
      </c>
      <c r="X16" s="784"/>
      <c r="Y16" s="165" t="s">
        <v>52</v>
      </c>
      <c r="Z16" s="792"/>
      <c r="AA16" s="121"/>
      <c r="AB16" s="507">
        <f>AB14-AB15</f>
        <v>0</v>
      </c>
      <c r="AC16" s="147"/>
      <c r="AD16" s="776"/>
    </row>
    <row r="17" spans="2:30" ht="18" customHeight="1" thickTop="1" x14ac:dyDescent="0.25">
      <c r="B17" s="352" t="s">
        <v>35</v>
      </c>
      <c r="C17" s="355"/>
      <c r="D17" s="356" t="s">
        <v>36</v>
      </c>
      <c r="E17" s="513">
        <v>8300</v>
      </c>
      <c r="F17" s="776"/>
      <c r="G17" s="751" t="s">
        <v>55</v>
      </c>
      <c r="H17" s="1090" t="s">
        <v>56</v>
      </c>
      <c r="I17" s="1091"/>
      <c r="J17" s="1091"/>
      <c r="K17" s="1092"/>
      <c r="L17" s="776"/>
      <c r="M17" s="1096" t="s">
        <v>62</v>
      </c>
      <c r="N17" s="1097"/>
      <c r="O17" s="1097"/>
      <c r="P17" s="1097"/>
      <c r="Q17" s="1098"/>
      <c r="S17" s="143"/>
      <c r="T17" s="165" t="s">
        <v>57</v>
      </c>
      <c r="U17" s="792"/>
      <c r="V17" s="121"/>
      <c r="W17" s="507">
        <f>KEY!BM34</f>
        <v>0</v>
      </c>
      <c r="X17" s="784"/>
      <c r="Y17" s="165" t="s">
        <v>57</v>
      </c>
      <c r="Z17" s="792"/>
      <c r="AA17" s="121"/>
      <c r="AB17" s="507">
        <f>KEY!BN34</f>
        <v>0</v>
      </c>
      <c r="AC17" s="147"/>
      <c r="AD17" s="776"/>
    </row>
    <row r="18" spans="2:30" ht="18" customHeight="1" thickBot="1" x14ac:dyDescent="0.3">
      <c r="B18" s="970" t="s">
        <v>39</v>
      </c>
      <c r="C18" s="357"/>
      <c r="D18" s="971" t="s">
        <v>40</v>
      </c>
      <c r="E18" s="972">
        <v>12</v>
      </c>
      <c r="F18" s="776"/>
      <c r="G18" s="752" t="s">
        <v>58</v>
      </c>
      <c r="H18" s="1036" t="s">
        <v>737</v>
      </c>
      <c r="I18" s="1037"/>
      <c r="J18" s="1037"/>
      <c r="K18" s="1038"/>
      <c r="L18" s="776"/>
      <c r="M18" s="1099"/>
      <c r="N18" s="1100"/>
      <c r="O18" s="1100"/>
      <c r="P18" s="1100"/>
      <c r="Q18" s="1101"/>
      <c r="S18" s="143"/>
      <c r="T18" s="166" t="s">
        <v>59</v>
      </c>
      <c r="U18" s="793"/>
      <c r="V18" s="120">
        <v>0.04</v>
      </c>
      <c r="W18" s="508">
        <f>ROUND((W16+W17)*4%,0)</f>
        <v>2843</v>
      </c>
      <c r="X18" s="784"/>
      <c r="Y18" s="166" t="str">
        <f>T18</f>
        <v xml:space="preserve">ADD : CESS </v>
      </c>
      <c r="Z18" s="793"/>
      <c r="AA18" s="120">
        <v>0.04</v>
      </c>
      <c r="AB18" s="508">
        <f>ROUND((AB16+AB17)*4%,0)</f>
        <v>0</v>
      </c>
      <c r="AC18" s="147"/>
      <c r="AD18" s="776"/>
    </row>
    <row r="19" spans="2:30" ht="18" customHeight="1" thickTop="1" thickBot="1" x14ac:dyDescent="0.3">
      <c r="F19" s="776"/>
      <c r="G19" s="752" t="s">
        <v>61</v>
      </c>
      <c r="H19" s="1087">
        <v>123456</v>
      </c>
      <c r="I19" s="1088"/>
      <c r="J19" s="1088"/>
      <c r="K19" s="1089"/>
      <c r="L19" s="776"/>
      <c r="M19" s="1028" t="s">
        <v>72</v>
      </c>
      <c r="N19" s="1029"/>
      <c r="O19" s="1029"/>
      <c r="P19" s="1030"/>
      <c r="Q19" s="795"/>
      <c r="S19" s="143"/>
      <c r="T19" s="167" t="s">
        <v>63</v>
      </c>
      <c r="U19" s="794"/>
      <c r="V19" s="168" t="str">
        <f>V5</f>
        <v>→</v>
      </c>
      <c r="W19" s="509">
        <f>W16+W17+W18</f>
        <v>73911</v>
      </c>
      <c r="X19" s="784"/>
      <c r="Y19" s="167" t="str">
        <f>T19</f>
        <v>TOTAL TAX LIABILITY</v>
      </c>
      <c r="Z19" s="794"/>
      <c r="AA19" s="168" t="str">
        <f>AA5</f>
        <v>→</v>
      </c>
      <c r="AB19" s="509">
        <f>AB16+AB17+AB18</f>
        <v>0</v>
      </c>
      <c r="AC19" s="147"/>
      <c r="AD19" s="776"/>
    </row>
    <row r="20" spans="2:30" ht="18" customHeight="1" thickTop="1" x14ac:dyDescent="0.25">
      <c r="B20" s="1165" t="s">
        <v>728</v>
      </c>
      <c r="C20" s="1166"/>
      <c r="D20" s="984">
        <v>0.3</v>
      </c>
      <c r="E20" s="985" t="s">
        <v>54</v>
      </c>
      <c r="F20" s="746"/>
      <c r="G20" s="752" t="s">
        <v>65</v>
      </c>
      <c r="H20" s="1036" t="s">
        <v>66</v>
      </c>
      <c r="I20" s="1037"/>
      <c r="J20" s="1037"/>
      <c r="K20" s="1038"/>
      <c r="L20" s="776"/>
      <c r="M20" s="1028" t="s">
        <v>75</v>
      </c>
      <c r="N20" s="1029"/>
      <c r="O20" s="1029"/>
      <c r="P20" s="1030"/>
      <c r="Q20" s="795"/>
      <c r="S20" s="143"/>
      <c r="T20" s="723" t="s">
        <v>67</v>
      </c>
      <c r="U20" s="152"/>
      <c r="V20" s="153"/>
      <c r="W20" s="506">
        <f>'10E DATA'!N14</f>
        <v>0</v>
      </c>
      <c r="X20" s="784"/>
      <c r="Y20" s="723" t="str">
        <f t="shared" ref="Y20" si="4">T20</f>
        <v>LESS : Relief 89(1)</v>
      </c>
      <c r="Z20" s="152"/>
      <c r="AA20" s="791"/>
      <c r="AB20" s="506">
        <f>'10E DATA'!N14</f>
        <v>0</v>
      </c>
      <c r="AC20" s="147"/>
      <c r="AD20" s="776"/>
    </row>
    <row r="21" spans="2:30" ht="18" customHeight="1" thickBot="1" x14ac:dyDescent="0.3">
      <c r="B21" s="1163" t="s">
        <v>49</v>
      </c>
      <c r="C21" s="1164"/>
      <c r="D21" s="986">
        <v>0.37309999999999999</v>
      </c>
      <c r="E21" s="987">
        <v>45931</v>
      </c>
      <c r="F21" s="746"/>
      <c r="G21" s="752" t="s">
        <v>70</v>
      </c>
      <c r="H21" s="1036" t="s">
        <v>71</v>
      </c>
      <c r="I21" s="1037"/>
      <c r="J21" s="1037"/>
      <c r="K21" s="1038"/>
      <c r="L21" s="776"/>
      <c r="M21" s="1028" t="s">
        <v>78</v>
      </c>
      <c r="N21" s="1029"/>
      <c r="O21" s="1029"/>
      <c r="P21" s="1030"/>
      <c r="Q21" s="795"/>
      <c r="S21" s="143"/>
      <c r="T21" s="167" t="s">
        <v>63</v>
      </c>
      <c r="U21" s="794"/>
      <c r="V21" s="168">
        <f>V7</f>
        <v>0</v>
      </c>
      <c r="W21" s="509">
        <f>W19-W20</f>
        <v>73911</v>
      </c>
      <c r="X21" s="784"/>
      <c r="Y21" s="167" t="str">
        <f>T21</f>
        <v>TOTAL TAX LIABILITY</v>
      </c>
      <c r="Z21" s="794"/>
      <c r="AA21" s="168">
        <f>AA7</f>
        <v>0</v>
      </c>
      <c r="AB21" s="509">
        <f>AB19-AB20</f>
        <v>0</v>
      </c>
      <c r="AC21" s="147"/>
      <c r="AD21" s="776"/>
    </row>
    <row r="22" spans="2:30" ht="18" customHeight="1" thickTop="1" thickBot="1" x14ac:dyDescent="0.3">
      <c r="B22" s="1161" t="s">
        <v>53</v>
      </c>
      <c r="C22" s="1162"/>
      <c r="D22" s="988">
        <v>0.40039999999999998</v>
      </c>
      <c r="E22" s="989" t="s">
        <v>54</v>
      </c>
      <c r="F22" s="776"/>
      <c r="G22" s="752" t="s">
        <v>73</v>
      </c>
      <c r="H22" s="1036" t="s">
        <v>74</v>
      </c>
      <c r="I22" s="1037"/>
      <c r="J22" s="1037"/>
      <c r="K22" s="1038"/>
      <c r="L22" s="776"/>
      <c r="M22" s="1025" t="s">
        <v>81</v>
      </c>
      <c r="N22" s="1026"/>
      <c r="O22" s="1026"/>
      <c r="P22" s="1027"/>
      <c r="Q22" s="795"/>
      <c r="S22" s="144"/>
      <c r="T22" s="770"/>
      <c r="U22" s="771"/>
      <c r="V22" s="771"/>
      <c r="W22" s="771"/>
      <c r="X22" s="796"/>
      <c r="Y22" s="770"/>
      <c r="Z22" s="771"/>
      <c r="AA22" s="771"/>
      <c r="AB22" s="771"/>
      <c r="AC22" s="145"/>
      <c r="AD22" s="776"/>
    </row>
    <row r="23" spans="2:30" ht="18" customHeight="1" thickTop="1" thickBot="1" x14ac:dyDescent="0.3">
      <c r="F23" s="776"/>
      <c r="G23" s="752" t="s">
        <v>76</v>
      </c>
      <c r="H23" s="1036" t="s">
        <v>77</v>
      </c>
      <c r="I23" s="1037"/>
      <c r="J23" s="1037"/>
      <c r="K23" s="1038"/>
      <c r="L23" s="776"/>
      <c r="M23" s="1028" t="s">
        <v>85</v>
      </c>
      <c r="N23" s="1029"/>
      <c r="O23" s="1029"/>
      <c r="P23" s="1030"/>
      <c r="Q23" s="795"/>
      <c r="Y23" s="776"/>
      <c r="Z23" s="776"/>
      <c r="AA23" s="776"/>
      <c r="AB23" s="776"/>
      <c r="AC23" s="776"/>
      <c r="AD23" s="776"/>
    </row>
    <row r="24" spans="2:30" ht="18" customHeight="1" thickTop="1" x14ac:dyDescent="0.25">
      <c r="B24" s="1010" t="s">
        <v>60</v>
      </c>
      <c r="C24" s="1011"/>
      <c r="D24" s="767">
        <f>KEY!BM36</f>
        <v>73911</v>
      </c>
      <c r="E24" s="973" t="str">
        <f>IF(AND(D24=D25),"NEW",
IF(AND(D24&lt;=D25,D26="AUTO"),"OLD",
IF(AND(D24&lt;=D25,D26="OLD"),"OLD",
IF(AND(D24&lt;=D25,D26="NEW"),"OLD","NEW"))))</f>
        <v>NEW</v>
      </c>
      <c r="F24" s="776"/>
      <c r="G24" s="752" t="s">
        <v>79</v>
      </c>
      <c r="H24" s="1036" t="s">
        <v>80</v>
      </c>
      <c r="I24" s="1037"/>
      <c r="J24" s="1037"/>
      <c r="K24" s="1038"/>
      <c r="L24" s="776"/>
      <c r="M24" s="1114" t="s">
        <v>89</v>
      </c>
      <c r="N24" s="1115"/>
      <c r="O24" s="1115"/>
      <c r="P24" s="1116"/>
      <c r="Q24" s="795"/>
      <c r="S24" s="1076" t="s">
        <v>724</v>
      </c>
      <c r="T24" s="1120"/>
      <c r="U24" s="1120"/>
      <c r="V24" s="1120"/>
      <c r="W24" s="1121"/>
      <c r="Y24" s="1105" t="s">
        <v>82</v>
      </c>
      <c r="Z24" s="1106"/>
      <c r="AA24" s="1106"/>
      <c r="AB24" s="1106"/>
      <c r="AC24" s="1107"/>
      <c r="AD24" s="776"/>
    </row>
    <row r="25" spans="2:30" ht="18" customHeight="1" x14ac:dyDescent="0.25">
      <c r="B25" s="1014" t="s">
        <v>720</v>
      </c>
      <c r="C25" s="1015"/>
      <c r="D25" s="768">
        <f>KEY!BN36</f>
        <v>0</v>
      </c>
      <c r="E25" s="1019" t="s">
        <v>64</v>
      </c>
      <c r="F25" s="776"/>
      <c r="G25" s="752" t="s">
        <v>83</v>
      </c>
      <c r="H25" s="1036" t="s">
        <v>84</v>
      </c>
      <c r="I25" s="1037"/>
      <c r="J25" s="1037"/>
      <c r="K25" s="1038"/>
      <c r="L25" s="776"/>
      <c r="M25" s="1117" t="str">
        <f>"Maintenance : ("&amp;Q23&amp;" - "&amp;Q24&amp;") * "&amp;"30% = "</f>
        <v xml:space="preserve">Maintenance : ( - ) * 30% = </v>
      </c>
      <c r="N25" s="1118"/>
      <c r="O25" s="1118"/>
      <c r="P25" s="1119"/>
      <c r="Q25" s="797">
        <f>ROUND((Q23-Q24)*30%,0)</f>
        <v>0</v>
      </c>
      <c r="S25" s="1122"/>
      <c r="T25" s="1123"/>
      <c r="U25" s="1123"/>
      <c r="V25" s="1123"/>
      <c r="W25" s="1124"/>
      <c r="Y25" s="1108"/>
      <c r="Z25" s="1109"/>
      <c r="AA25" s="1109"/>
      <c r="AB25" s="1109"/>
      <c r="AC25" s="1110"/>
      <c r="AD25" s="776"/>
    </row>
    <row r="26" spans="2:30" ht="18" customHeight="1" thickBot="1" x14ac:dyDescent="0.3">
      <c r="B26" s="1012" t="s">
        <v>68</v>
      </c>
      <c r="C26" s="1013"/>
      <c r="D26" s="772" t="s">
        <v>727</v>
      </c>
      <c r="E26" s="1020"/>
      <c r="F26" s="776"/>
      <c r="G26" s="753" t="str">
        <f>IF(D5="CPS","PRAN No.","GPF/ZPPF No.")</f>
        <v>PRAN No.</v>
      </c>
      <c r="H26" s="1061">
        <v>9963535304</v>
      </c>
      <c r="I26" s="1061"/>
      <c r="J26" s="1061"/>
      <c r="K26" s="1062"/>
      <c r="L26" s="747"/>
      <c r="M26" s="1117" t="s">
        <v>91</v>
      </c>
      <c r="N26" s="1118"/>
      <c r="O26" s="1118"/>
      <c r="P26" s="1119"/>
      <c r="Q26" s="797">
        <f>Q23-Q24-Q25</f>
        <v>0</v>
      </c>
      <c r="S26" s="1122"/>
      <c r="T26" s="1123"/>
      <c r="U26" s="1123"/>
      <c r="V26" s="1123"/>
      <c r="W26" s="1124"/>
      <c r="Y26" s="1108"/>
      <c r="Z26" s="1109"/>
      <c r="AA26" s="1109"/>
      <c r="AB26" s="1109"/>
      <c r="AC26" s="1110"/>
      <c r="AD26" s="106"/>
    </row>
    <row r="27" spans="2:30" ht="18" customHeight="1" thickTop="1" thickBot="1" x14ac:dyDescent="0.3">
      <c r="F27" s="776"/>
      <c r="G27" s="749"/>
      <c r="H27" s="750"/>
      <c r="I27" s="750"/>
      <c r="J27" s="750"/>
      <c r="K27" s="750"/>
      <c r="L27" s="748"/>
      <c r="M27" s="1114" t="s">
        <v>95</v>
      </c>
      <c r="N27" s="1115"/>
      <c r="O27" s="1115"/>
      <c r="P27" s="1116"/>
      <c r="Q27" s="795"/>
      <c r="S27" s="1125" t="s">
        <v>725</v>
      </c>
      <c r="T27" s="1123"/>
      <c r="U27" s="1123"/>
      <c r="V27" s="1123"/>
      <c r="W27" s="1124"/>
      <c r="Y27" s="1108"/>
      <c r="Z27" s="1109"/>
      <c r="AA27" s="1109"/>
      <c r="AB27" s="1109"/>
      <c r="AC27" s="1110"/>
      <c r="AD27" s="106"/>
    </row>
    <row r="28" spans="2:30" ht="18" customHeight="1" thickTop="1" thickBot="1" x14ac:dyDescent="0.3">
      <c r="B28" s="1021" t="s">
        <v>86</v>
      </c>
      <c r="C28" s="1016" t="s">
        <v>726</v>
      </c>
      <c r="D28" s="1004" t="s">
        <v>87</v>
      </c>
      <c r="E28" s="1007" t="s">
        <v>88</v>
      </c>
      <c r="F28" s="776"/>
      <c r="G28" s="1024" t="s">
        <v>90</v>
      </c>
      <c r="H28" s="1024"/>
      <c r="I28" s="1024"/>
      <c r="J28" s="1024"/>
      <c r="K28" s="1024"/>
      <c r="L28" s="748"/>
      <c r="M28" s="774" t="str">
        <f>IF(Q28&lt;0,"LOSS","INCOME")</f>
        <v>INCOME</v>
      </c>
      <c r="N28" s="1084" t="s">
        <v>98</v>
      </c>
      <c r="O28" s="1084"/>
      <c r="P28" s="1085"/>
      <c r="Q28" s="798">
        <f>Q26-Q27</f>
        <v>0</v>
      </c>
      <c r="S28" s="1122"/>
      <c r="T28" s="1123"/>
      <c r="U28" s="1123"/>
      <c r="V28" s="1123"/>
      <c r="W28" s="1124"/>
      <c r="Y28" s="1108"/>
      <c r="Z28" s="1109"/>
      <c r="AA28" s="1109"/>
      <c r="AB28" s="1109"/>
      <c r="AC28" s="1110"/>
      <c r="AD28" s="106"/>
    </row>
    <row r="29" spans="2:30" ht="18" customHeight="1" thickTop="1" thickBot="1" x14ac:dyDescent="0.3">
      <c r="B29" s="1022"/>
      <c r="C29" s="1017"/>
      <c r="D29" s="1005"/>
      <c r="E29" s="1008"/>
      <c r="F29" s="776"/>
      <c r="G29" s="754" t="s">
        <v>93</v>
      </c>
      <c r="H29" s="1039" t="s">
        <v>94</v>
      </c>
      <c r="I29" s="1039"/>
      <c r="J29" s="1039"/>
      <c r="K29" s="1040"/>
      <c r="L29" s="776"/>
      <c r="M29" s="1028" t="s">
        <v>102</v>
      </c>
      <c r="N29" s="1029"/>
      <c r="O29" s="1029"/>
      <c r="P29" s="1030"/>
      <c r="Q29" s="795"/>
      <c r="S29" s="1126"/>
      <c r="T29" s="1127"/>
      <c r="U29" s="1127"/>
      <c r="V29" s="1127"/>
      <c r="W29" s="1128"/>
      <c r="Y29" s="1111"/>
      <c r="Z29" s="1112"/>
      <c r="AA29" s="1112"/>
      <c r="AB29" s="1112"/>
      <c r="AC29" s="1113"/>
      <c r="AD29" s="122"/>
    </row>
    <row r="30" spans="2:30" ht="18" customHeight="1" thickTop="1" x14ac:dyDescent="0.25">
      <c r="B30" s="1023"/>
      <c r="C30" s="1018"/>
      <c r="D30" s="1006"/>
      <c r="E30" s="1009"/>
      <c r="F30" s="776"/>
      <c r="G30" s="755" t="s">
        <v>58</v>
      </c>
      <c r="H30" s="1031" t="s">
        <v>97</v>
      </c>
      <c r="I30" s="1031"/>
      <c r="J30" s="1031"/>
      <c r="K30" s="1032"/>
      <c r="L30" s="776"/>
      <c r="M30" s="1028" t="s">
        <v>105</v>
      </c>
      <c r="N30" s="1029"/>
      <c r="O30" s="1029"/>
      <c r="P30" s="1030"/>
      <c r="Q30" s="795"/>
      <c r="Y30" s="776"/>
      <c r="Z30" s="776"/>
      <c r="AA30" s="776"/>
      <c r="AB30" s="776"/>
      <c r="AC30" s="776"/>
      <c r="AD30" s="122"/>
    </row>
    <row r="31" spans="2:30" ht="18" customHeight="1" x14ac:dyDescent="0.25">
      <c r="B31" s="349" t="s">
        <v>92</v>
      </c>
      <c r="C31" s="514">
        <v>150</v>
      </c>
      <c r="D31" s="553" t="s">
        <v>54</v>
      </c>
      <c r="E31" s="103"/>
      <c r="F31" s="776"/>
      <c r="G31" s="752" t="s">
        <v>100</v>
      </c>
      <c r="H31" s="1031" t="s">
        <v>101</v>
      </c>
      <c r="I31" s="1031"/>
      <c r="J31" s="1031"/>
      <c r="K31" s="1032"/>
      <c r="L31" s="776"/>
      <c r="M31" s="1028" t="s">
        <v>110</v>
      </c>
      <c r="N31" s="1029"/>
      <c r="O31" s="1029"/>
      <c r="P31" s="1030"/>
      <c r="Q31" s="795"/>
      <c r="Y31" s="776"/>
      <c r="Z31" s="776"/>
      <c r="AA31" s="776"/>
      <c r="AB31" s="776"/>
      <c r="AC31" s="776"/>
      <c r="AD31" s="122"/>
    </row>
    <row r="32" spans="2:30" ht="18" customHeight="1" x14ac:dyDescent="0.25">
      <c r="B32" s="349" t="s">
        <v>96</v>
      </c>
      <c r="C32" s="514"/>
      <c r="D32" s="553" t="s">
        <v>54</v>
      </c>
      <c r="E32" s="103"/>
      <c r="F32" s="776"/>
      <c r="G32" s="752" t="s">
        <v>104</v>
      </c>
      <c r="H32" s="1031"/>
      <c r="I32" s="1031"/>
      <c r="J32" s="1031"/>
      <c r="K32" s="1032"/>
      <c r="L32" s="776"/>
      <c r="M32" s="1028" t="s">
        <v>113</v>
      </c>
      <c r="N32" s="1029"/>
      <c r="O32" s="1029"/>
      <c r="P32" s="1030"/>
      <c r="Q32" s="795"/>
      <c r="S32" s="415"/>
      <c r="T32" s="799" t="s">
        <v>106</v>
      </c>
      <c r="U32" s="759"/>
      <c r="V32" s="1046">
        <f>DATE(YEAR(D11)-2,MONTH(D11),DAY(D11))</f>
        <v>45231</v>
      </c>
      <c r="W32" s="1046"/>
      <c r="Y32" s="800"/>
      <c r="Z32" s="800"/>
      <c r="AA32" s="800"/>
      <c r="AB32" s="800"/>
      <c r="AC32" s="800"/>
      <c r="AD32" s="122"/>
    </row>
    <row r="33" spans="2:30" ht="18" customHeight="1" x14ac:dyDescent="0.25">
      <c r="B33" s="349" t="s">
        <v>99</v>
      </c>
      <c r="C33" s="514"/>
      <c r="D33" s="553" t="s">
        <v>54</v>
      </c>
      <c r="E33" s="103"/>
      <c r="F33" s="776"/>
      <c r="G33" s="752" t="s">
        <v>108</v>
      </c>
      <c r="H33" s="1031" t="s">
        <v>109</v>
      </c>
      <c r="I33" s="1031"/>
      <c r="J33" s="1031"/>
      <c r="K33" s="1032"/>
      <c r="L33" s="776"/>
      <c r="M33" s="1047" t="str">
        <f>IF(AGE&lt;=60,"80TTA : Interest on Savings A/c.","80TTB : Interest on Savings A/c")&amp;"  (AGE &lt;= 60)"</f>
        <v>80TTA : Interest on Savings A/c.  (AGE &lt;= 60)</v>
      </c>
      <c r="N33" s="1048"/>
      <c r="O33" s="1048"/>
      <c r="P33" s="1049"/>
      <c r="Q33" s="795"/>
      <c r="S33" s="415"/>
      <c r="T33" s="799" t="s">
        <v>111</v>
      </c>
      <c r="U33" s="759"/>
      <c r="V33" s="1046">
        <f>DATE(YEAR(D11)-1,MONTH(D11),DAY(D11))</f>
        <v>45597</v>
      </c>
      <c r="W33" s="1046"/>
      <c r="Y33" s="800"/>
      <c r="Z33" s="800"/>
      <c r="AA33" s="800"/>
      <c r="AB33" s="800"/>
      <c r="AC33" s="800"/>
      <c r="AD33" s="122"/>
    </row>
    <row r="34" spans="2:30" ht="18" customHeight="1" x14ac:dyDescent="0.25">
      <c r="B34" s="350" t="s">
        <v>103</v>
      </c>
      <c r="C34" s="514"/>
      <c r="D34" s="553" t="s">
        <v>54</v>
      </c>
      <c r="E34" s="103"/>
      <c r="F34" s="776"/>
      <c r="G34" s="752" t="s">
        <v>73</v>
      </c>
      <c r="H34" s="1031" t="s">
        <v>77</v>
      </c>
      <c r="I34" s="1031"/>
      <c r="J34" s="1031"/>
      <c r="K34" s="1032"/>
      <c r="L34" s="776"/>
      <c r="M34" s="1025" t="s">
        <v>118</v>
      </c>
      <c r="N34" s="1026"/>
      <c r="O34" s="1026"/>
      <c r="P34" s="1027"/>
      <c r="Q34" s="795"/>
      <c r="S34" s="415"/>
      <c r="T34" s="760" t="s">
        <v>114</v>
      </c>
      <c r="U34" s="759"/>
      <c r="V34" s="801">
        <v>0</v>
      </c>
      <c r="W34" s="802" t="s">
        <v>25</v>
      </c>
      <c r="Y34" s="800"/>
      <c r="Z34" s="800"/>
      <c r="AA34" s="800"/>
      <c r="AB34" s="800"/>
      <c r="AC34" s="800"/>
      <c r="AD34" s="122"/>
    </row>
    <row r="35" spans="2:30" ht="18" customHeight="1" x14ac:dyDescent="0.25">
      <c r="B35" s="350" t="s">
        <v>107</v>
      </c>
      <c r="C35" s="514"/>
      <c r="D35" s="553" t="s">
        <v>54</v>
      </c>
      <c r="E35" s="103"/>
      <c r="F35" s="776"/>
      <c r="G35" s="752" t="s">
        <v>76</v>
      </c>
      <c r="H35" s="1031" t="s">
        <v>77</v>
      </c>
      <c r="I35" s="1031"/>
      <c r="J35" s="1031"/>
      <c r="K35" s="1032"/>
      <c r="L35" s="776"/>
      <c r="M35" s="1028" t="s">
        <v>122</v>
      </c>
      <c r="N35" s="1029"/>
      <c r="O35" s="1029"/>
      <c r="P35" s="1030"/>
      <c r="Q35" s="795"/>
      <c r="S35" s="415"/>
      <c r="T35" s="760" t="s">
        <v>116</v>
      </c>
      <c r="U35" s="759"/>
      <c r="V35" s="801">
        <v>0</v>
      </c>
      <c r="W35" s="802" t="s">
        <v>25</v>
      </c>
      <c r="Y35" s="800"/>
      <c r="Z35" s="800"/>
      <c r="AA35" s="800"/>
      <c r="AB35" s="800"/>
      <c r="AC35" s="800"/>
      <c r="AD35" s="122"/>
    </row>
    <row r="36" spans="2:30" ht="18" customHeight="1" thickBot="1" x14ac:dyDescent="0.3">
      <c r="B36" s="140" t="s">
        <v>112</v>
      </c>
      <c r="C36" s="515">
        <v>5000</v>
      </c>
      <c r="D36" s="553" t="s">
        <v>54</v>
      </c>
      <c r="E36" s="104"/>
      <c r="F36" s="776"/>
      <c r="G36" s="753" t="s">
        <v>79</v>
      </c>
      <c r="H36" s="1056" t="str">
        <f>H24</f>
        <v>NANDYAL</v>
      </c>
      <c r="I36" s="1056"/>
      <c r="J36" s="1056"/>
      <c r="K36" s="1057"/>
      <c r="L36" s="776"/>
      <c r="M36" s="1050" t="s">
        <v>126</v>
      </c>
      <c r="N36" s="1051"/>
      <c r="O36" s="1051"/>
      <c r="P36" s="1052"/>
      <c r="Q36" s="803"/>
      <c r="S36" s="766"/>
      <c r="T36" s="761" t="s">
        <v>119</v>
      </c>
      <c r="U36" s="762" t="s">
        <v>120</v>
      </c>
      <c r="V36" s="763">
        <f>'10E DATA'!N14</f>
        <v>0</v>
      </c>
      <c r="W36" s="763">
        <f>D24-V36</f>
        <v>73911</v>
      </c>
      <c r="Y36" s="800"/>
      <c r="Z36" s="800"/>
      <c r="AA36" s="800"/>
      <c r="AB36" s="800"/>
      <c r="AC36" s="800"/>
      <c r="AD36" s="122"/>
    </row>
    <row r="37" spans="2:30" ht="18" customHeight="1" thickTop="1" x14ac:dyDescent="0.25">
      <c r="B37" s="140" t="s">
        <v>115</v>
      </c>
      <c r="C37" s="515">
        <v>2500</v>
      </c>
      <c r="D37" s="553" t="s">
        <v>54</v>
      </c>
      <c r="E37" s="104"/>
      <c r="F37" s="776"/>
      <c r="G37" s="778"/>
      <c r="H37" s="776"/>
      <c r="I37" s="776"/>
      <c r="J37" s="776"/>
      <c r="K37" s="776"/>
      <c r="L37" s="776"/>
      <c r="S37" s="766"/>
      <c r="T37" s="764" t="s">
        <v>123</v>
      </c>
      <c r="U37" s="765" t="s">
        <v>120</v>
      </c>
      <c r="V37" s="763">
        <f>'10E DATA'!N14</f>
        <v>0</v>
      </c>
      <c r="W37" s="763">
        <f>D25-V37</f>
        <v>0</v>
      </c>
      <c r="Y37" s="800"/>
      <c r="Z37" s="800"/>
      <c r="AA37" s="800"/>
      <c r="AB37" s="800"/>
      <c r="AC37" s="800"/>
      <c r="AD37" s="122"/>
    </row>
    <row r="38" spans="2:30" ht="18" customHeight="1" thickBot="1" x14ac:dyDescent="0.3">
      <c r="B38" s="140" t="s">
        <v>117</v>
      </c>
      <c r="C38" s="515">
        <v>60</v>
      </c>
      <c r="D38" s="553" t="s">
        <v>54</v>
      </c>
      <c r="E38" s="104"/>
      <c r="F38" s="776"/>
      <c r="G38" s="1024" t="s">
        <v>125</v>
      </c>
      <c r="H38" s="1024"/>
      <c r="I38" s="1024"/>
      <c r="J38" s="1024"/>
      <c r="K38" s="1024"/>
      <c r="L38" s="776"/>
      <c r="S38" s="745"/>
      <c r="T38" s="745"/>
      <c r="U38" s="745"/>
      <c r="V38" s="745"/>
      <c r="W38" s="745"/>
      <c r="Y38" s="776"/>
      <c r="Z38" s="776"/>
      <c r="AA38" s="776"/>
      <c r="AB38" s="776"/>
      <c r="AC38" s="776"/>
      <c r="AD38" s="122"/>
    </row>
    <row r="39" spans="2:30" ht="18" customHeight="1" thickTop="1" x14ac:dyDescent="0.25">
      <c r="B39" s="140" t="s">
        <v>121</v>
      </c>
      <c r="C39" s="515">
        <v>200</v>
      </c>
      <c r="D39" s="553" t="s">
        <v>54</v>
      </c>
      <c r="E39" s="137"/>
      <c r="F39" s="776"/>
      <c r="G39" s="756" t="s">
        <v>55</v>
      </c>
      <c r="H39" s="1069"/>
      <c r="I39" s="1069"/>
      <c r="J39" s="1069"/>
      <c r="K39" s="1070"/>
      <c r="L39" s="776"/>
      <c r="M39" s="340" t="s">
        <v>131</v>
      </c>
      <c r="N39" s="341"/>
      <c r="O39" s="342"/>
      <c r="P39" s="1074">
        <f>'ANNEXURE II'!T41</f>
        <v>0</v>
      </c>
      <c r="Q39" s="1075"/>
      <c r="Y39" s="776"/>
      <c r="Z39" s="776"/>
      <c r="AA39" s="776"/>
      <c r="AB39" s="776"/>
      <c r="AC39" s="776"/>
      <c r="AD39" s="776"/>
    </row>
    <row r="40" spans="2:30" ht="18" customHeight="1" x14ac:dyDescent="0.25">
      <c r="B40" s="323" t="s">
        <v>124</v>
      </c>
      <c r="C40" s="515">
        <v>225</v>
      </c>
      <c r="D40" s="553" t="s">
        <v>54</v>
      </c>
      <c r="E40" s="104"/>
      <c r="F40" s="776"/>
      <c r="G40" s="757" t="s">
        <v>130</v>
      </c>
      <c r="H40" s="1067"/>
      <c r="I40" s="1067"/>
      <c r="J40" s="1067"/>
      <c r="K40" s="1068"/>
      <c r="L40" s="776"/>
      <c r="M40" s="343" t="s">
        <v>134</v>
      </c>
      <c r="N40" s="344"/>
      <c r="O40" s="345"/>
      <c r="P40" s="1071">
        <f>IF('ANNEXURE I'!B2="OLD",150000-'ANNEXURE II'!T41,0)</f>
        <v>0</v>
      </c>
      <c r="Q40" s="1072"/>
      <c r="Y40" s="776"/>
      <c r="Z40" s="776"/>
      <c r="AA40" s="776"/>
      <c r="AB40" s="776"/>
      <c r="AC40" s="776"/>
      <c r="AD40" s="776"/>
    </row>
    <row r="41" spans="2:30" ht="18" customHeight="1" x14ac:dyDescent="0.25">
      <c r="B41" s="323" t="s">
        <v>127</v>
      </c>
      <c r="C41" s="515"/>
      <c r="D41" s="553" t="s">
        <v>54</v>
      </c>
      <c r="E41" s="104"/>
      <c r="F41" s="776"/>
      <c r="G41" s="757" t="s">
        <v>133</v>
      </c>
      <c r="H41" s="1063"/>
      <c r="I41" s="1063"/>
      <c r="J41" s="1063"/>
      <c r="K41" s="1064"/>
      <c r="L41" s="776"/>
      <c r="M41" s="546" t="s">
        <v>137</v>
      </c>
      <c r="N41" s="547"/>
      <c r="O41" s="548"/>
      <c r="P41" s="1082">
        <f>'ANNEXURE II'!T42</f>
        <v>0</v>
      </c>
      <c r="Q41" s="1083"/>
      <c r="Y41" s="776"/>
      <c r="Z41" s="776"/>
      <c r="AA41" s="776"/>
      <c r="AB41" s="776"/>
      <c r="AC41" s="776"/>
      <c r="AD41" s="776"/>
    </row>
    <row r="42" spans="2:30" ht="18" customHeight="1" thickBot="1" x14ac:dyDescent="0.3">
      <c r="B42" s="140" t="s">
        <v>128</v>
      </c>
      <c r="C42" s="515">
        <v>50</v>
      </c>
      <c r="D42" s="338" t="s">
        <v>129</v>
      </c>
      <c r="E42" s="516">
        <v>100</v>
      </c>
      <c r="F42" s="776"/>
      <c r="G42" s="757" t="s">
        <v>136</v>
      </c>
      <c r="H42" s="1063"/>
      <c r="I42" s="1063"/>
      <c r="J42" s="1063"/>
      <c r="K42" s="1064"/>
      <c r="L42" s="776"/>
      <c r="M42" s="346" t="s">
        <v>134</v>
      </c>
      <c r="N42" s="347"/>
      <c r="O42" s="348"/>
      <c r="P42" s="1059">
        <f>IF('ANNEXURE I'!B2="OLD",50000-'ANNEXURE II'!T42,0)</f>
        <v>0</v>
      </c>
      <c r="Q42" s="1060"/>
      <c r="Y42" s="776"/>
      <c r="Z42" s="776"/>
      <c r="AA42" s="776"/>
      <c r="AB42" s="776"/>
      <c r="AC42" s="776"/>
      <c r="AD42" s="776"/>
    </row>
    <row r="43" spans="2:30" ht="18" customHeight="1" thickTop="1" thickBot="1" x14ac:dyDescent="0.3">
      <c r="B43" s="349" t="s">
        <v>132</v>
      </c>
      <c r="C43" s="101">
        <v>0.1</v>
      </c>
      <c r="D43" s="553" t="s">
        <v>54</v>
      </c>
      <c r="E43" s="105"/>
      <c r="F43" s="776"/>
      <c r="G43" s="757" t="s">
        <v>76</v>
      </c>
      <c r="H43" s="1063"/>
      <c r="I43" s="1063"/>
      <c r="J43" s="1063"/>
      <c r="K43" s="1064"/>
      <c r="L43" s="776"/>
      <c r="Y43" s="776"/>
      <c r="Z43" s="776"/>
      <c r="AA43" s="776"/>
      <c r="AB43" s="776"/>
      <c r="AC43" s="776"/>
      <c r="AD43" s="776"/>
    </row>
    <row r="44" spans="2:30" ht="18" customHeight="1" thickTop="1" x14ac:dyDescent="0.25">
      <c r="B44" s="349" t="s">
        <v>135</v>
      </c>
      <c r="C44" s="100"/>
      <c r="D44" s="553" t="s">
        <v>54</v>
      </c>
      <c r="E44" s="103"/>
      <c r="F44" s="776"/>
      <c r="G44" s="757" t="s">
        <v>79</v>
      </c>
      <c r="H44" s="1063"/>
      <c r="I44" s="1063"/>
      <c r="J44" s="1063"/>
      <c r="K44" s="1064"/>
      <c r="L44" s="776"/>
      <c r="M44" s="1076" t="s">
        <v>723</v>
      </c>
      <c r="N44" s="1077"/>
      <c r="O44" s="1077"/>
      <c r="P44" s="1077"/>
      <c r="Q44" s="1078"/>
      <c r="Y44" s="776"/>
      <c r="Z44" s="776"/>
      <c r="AA44" s="776"/>
      <c r="AB44" s="776"/>
      <c r="AC44" s="776"/>
      <c r="AD44" s="776"/>
    </row>
    <row r="45" spans="2:30" ht="18" customHeight="1" thickBot="1" x14ac:dyDescent="0.3">
      <c r="B45" s="1053" t="s">
        <v>138</v>
      </c>
      <c r="C45" s="1054"/>
      <c r="D45" s="1054"/>
      <c r="E45" s="102">
        <v>1</v>
      </c>
      <c r="F45" s="776"/>
      <c r="G45" s="758" t="s">
        <v>141</v>
      </c>
      <c r="H45" s="1065"/>
      <c r="I45" s="1065"/>
      <c r="J45" s="1065"/>
      <c r="K45" s="1066"/>
      <c r="L45" s="776"/>
      <c r="M45" s="1079"/>
      <c r="N45" s="1080"/>
      <c r="O45" s="1080"/>
      <c r="P45" s="1080"/>
      <c r="Q45" s="1081"/>
      <c r="Y45" s="776"/>
      <c r="Z45" s="776"/>
      <c r="AA45" s="776"/>
      <c r="AB45" s="776"/>
      <c r="AC45" s="776"/>
      <c r="AD45" s="776"/>
    </row>
    <row r="46" spans="2:30" ht="18" customHeight="1" thickTop="1" x14ac:dyDescent="0.25">
      <c r="B46" s="1053" t="s">
        <v>139</v>
      </c>
      <c r="C46" s="1054"/>
      <c r="D46" s="1054"/>
      <c r="E46" s="102">
        <v>1</v>
      </c>
      <c r="F46" s="776"/>
      <c r="G46" s="778"/>
      <c r="H46" s="776"/>
      <c r="I46" s="776"/>
      <c r="J46" s="776"/>
      <c r="K46" s="776"/>
      <c r="L46" s="776"/>
      <c r="Y46" s="776"/>
      <c r="Z46" s="776"/>
      <c r="AA46" s="776"/>
      <c r="AB46" s="776"/>
      <c r="AC46" s="776"/>
      <c r="AD46" s="776"/>
    </row>
    <row r="47" spans="2:30" ht="15.75" customHeight="1" thickBot="1" x14ac:dyDescent="0.3">
      <c r="B47" s="1044" t="s">
        <v>140</v>
      </c>
      <c r="C47" s="1045"/>
      <c r="D47" s="1045"/>
      <c r="E47" s="339"/>
      <c r="G47" s="1073" t="s">
        <v>721</v>
      </c>
      <c r="H47" s="1073"/>
      <c r="I47" s="1073"/>
      <c r="J47" s="1073"/>
      <c r="K47" s="1073"/>
      <c r="M47" s="1055" t="s">
        <v>142</v>
      </c>
      <c r="N47" s="1055"/>
      <c r="O47" s="1055"/>
      <c r="P47" s="1055"/>
      <c r="Q47" s="1055"/>
    </row>
    <row r="48" spans="2:30" ht="15.75" customHeight="1" thickTop="1" x14ac:dyDescent="0.25">
      <c r="B48" s="776"/>
      <c r="C48" s="776"/>
      <c r="D48" s="777"/>
      <c r="E48" s="776"/>
      <c r="F48" s="776"/>
      <c r="L48" s="776"/>
      <c r="Y48" s="776"/>
      <c r="Z48" s="776"/>
      <c r="AA48" s="776"/>
      <c r="AB48" s="776"/>
      <c r="AC48" s="776"/>
      <c r="AD48" s="776"/>
    </row>
    <row r="49" spans="6:30" ht="15.75" customHeight="1" x14ac:dyDescent="0.25">
      <c r="F49" s="776"/>
      <c r="G49" s="778"/>
      <c r="H49" s="776"/>
      <c r="I49" s="776"/>
      <c r="J49" s="776"/>
      <c r="K49" s="776"/>
      <c r="L49" s="776"/>
      <c r="Y49" s="776"/>
      <c r="Z49" s="776"/>
      <c r="AA49" s="776"/>
      <c r="AB49" s="776"/>
      <c r="AC49" s="776"/>
      <c r="AD49" s="776"/>
    </row>
    <row r="50" spans="6:30" ht="15.75" customHeight="1" x14ac:dyDescent="0.25">
      <c r="F50" s="776"/>
      <c r="G50" s="778"/>
      <c r="H50" s="776"/>
      <c r="I50" s="776"/>
      <c r="J50" s="776"/>
      <c r="K50" s="776"/>
      <c r="L50" s="776"/>
      <c r="M50" s="69"/>
      <c r="Y50" s="776"/>
      <c r="Z50" s="776"/>
      <c r="AA50" s="776"/>
      <c r="AB50" s="776"/>
      <c r="AC50" s="776"/>
      <c r="AD50" s="776"/>
    </row>
    <row r="51" spans="6:30" ht="15.75" customHeight="1" x14ac:dyDescent="0.25">
      <c r="F51" s="776"/>
      <c r="G51" s="778"/>
      <c r="H51" s="776"/>
      <c r="I51" s="776"/>
      <c r="J51" s="776"/>
      <c r="K51" s="776"/>
      <c r="L51" s="776"/>
      <c r="Y51" s="776"/>
      <c r="Z51" s="776"/>
      <c r="AA51" s="776"/>
      <c r="AB51" s="776"/>
      <c r="AC51" s="776"/>
      <c r="AD51" s="776"/>
    </row>
    <row r="52" spans="6:30" ht="15.75" customHeight="1" x14ac:dyDescent="0.25">
      <c r="F52" s="776"/>
      <c r="G52" s="778"/>
      <c r="H52" s="776"/>
      <c r="I52" s="776"/>
      <c r="J52" s="776"/>
      <c r="K52" s="776"/>
      <c r="L52" s="776"/>
      <c r="N52" s="1058"/>
      <c r="O52" s="1058"/>
      <c r="P52" s="1058"/>
      <c r="Q52" s="1058"/>
      <c r="S52" s="1058"/>
      <c r="T52" s="1058"/>
      <c r="U52" s="1058"/>
      <c r="V52" s="1058"/>
      <c r="W52" s="1058"/>
      <c r="X52" s="69"/>
      <c r="Y52" s="776"/>
      <c r="Z52" s="776"/>
      <c r="AA52" s="776"/>
      <c r="AB52" s="776"/>
      <c r="AC52" s="776"/>
      <c r="AD52" s="776"/>
    </row>
    <row r="53" spans="6:30" ht="15.75" customHeight="1" x14ac:dyDescent="0.25">
      <c r="F53" s="776"/>
      <c r="G53" s="778"/>
      <c r="H53" s="776"/>
      <c r="I53" s="776"/>
      <c r="J53" s="776"/>
      <c r="K53" s="776"/>
      <c r="L53" s="776"/>
      <c r="Y53" s="776"/>
      <c r="Z53" s="776"/>
      <c r="AA53" s="776"/>
      <c r="AB53" s="776"/>
      <c r="AC53" s="776"/>
      <c r="AD53" s="776"/>
    </row>
    <row r="54" spans="6:30" ht="15.75" customHeight="1" x14ac:dyDescent="0.25">
      <c r="F54" s="776"/>
      <c r="G54" s="778"/>
      <c r="H54" s="776"/>
      <c r="I54" s="776"/>
      <c r="J54" s="776"/>
      <c r="K54" s="776"/>
      <c r="L54" s="776"/>
      <c r="Y54" s="776"/>
      <c r="Z54" s="776"/>
      <c r="AA54" s="776"/>
      <c r="AB54" s="776"/>
      <c r="AC54" s="776"/>
      <c r="AD54" s="776"/>
    </row>
    <row r="55" spans="6:30" ht="15.75" customHeight="1" x14ac:dyDescent="0.25">
      <c r="F55" s="776"/>
      <c r="G55" s="778"/>
      <c r="H55" s="776"/>
      <c r="I55" s="776"/>
      <c r="J55" s="776"/>
      <c r="K55" s="776"/>
      <c r="L55" s="776"/>
      <c r="Y55" s="776"/>
      <c r="Z55" s="776"/>
      <c r="AA55" s="776"/>
      <c r="AB55" s="776"/>
      <c r="AC55" s="776"/>
      <c r="AD55" s="107"/>
    </row>
    <row r="56" spans="6:30" ht="15.75" customHeight="1" x14ac:dyDescent="0.25">
      <c r="F56" s="776"/>
      <c r="G56" s="778"/>
      <c r="H56" s="776"/>
      <c r="I56" s="776"/>
      <c r="J56" s="776"/>
      <c r="K56" s="776"/>
      <c r="L56" s="776"/>
      <c r="Y56" s="776"/>
      <c r="Z56" s="776"/>
      <c r="AA56" s="776"/>
      <c r="AB56" s="776"/>
      <c r="AC56" s="776"/>
      <c r="AD56" s="107"/>
    </row>
    <row r="57" spans="6:30" ht="15.75" customHeight="1" x14ac:dyDescent="0.25">
      <c r="F57" s="776"/>
      <c r="G57" s="544"/>
      <c r="H57" s="544"/>
      <c r="I57" s="544"/>
      <c r="J57" s="544"/>
      <c r="K57" s="544"/>
      <c r="L57" s="776"/>
      <c r="Y57" s="776"/>
      <c r="Z57" s="776"/>
      <c r="AA57" s="776"/>
      <c r="AB57" s="776"/>
      <c r="AC57" s="776"/>
      <c r="AD57" s="107"/>
    </row>
    <row r="58" spans="6:30" ht="15.75" customHeight="1" x14ac:dyDescent="0.25">
      <c r="F58" s="776"/>
      <c r="G58" s="778"/>
      <c r="H58" s="776"/>
      <c r="I58" s="776"/>
      <c r="J58" s="776"/>
      <c r="K58" s="776"/>
      <c r="L58" s="776"/>
      <c r="Y58" s="776"/>
      <c r="Z58" s="776"/>
      <c r="AA58" s="776"/>
      <c r="AB58" s="776"/>
      <c r="AC58" s="776"/>
      <c r="AD58" s="107"/>
    </row>
    <row r="59" spans="6:30" ht="15.75" customHeight="1" x14ac:dyDescent="0.25">
      <c r="F59" s="776"/>
      <c r="G59" s="778"/>
      <c r="H59" s="776"/>
      <c r="I59" s="776"/>
      <c r="J59" s="776"/>
      <c r="K59" s="776"/>
      <c r="L59" s="776"/>
      <c r="Y59" s="776"/>
      <c r="Z59" s="776"/>
      <c r="AA59" s="776"/>
      <c r="AB59" s="776"/>
      <c r="AC59" s="776"/>
      <c r="AD59" s="107"/>
    </row>
    <row r="60" spans="6:30" ht="15.75" customHeight="1" x14ac:dyDescent="0.25">
      <c r="F60" s="776"/>
      <c r="G60" s="778"/>
      <c r="H60" s="776"/>
      <c r="I60" s="776"/>
      <c r="J60" s="776"/>
      <c r="K60" s="776"/>
      <c r="L60" s="776"/>
      <c r="Y60" s="776"/>
      <c r="Z60" s="776"/>
      <c r="AA60" s="776"/>
      <c r="AB60" s="776"/>
      <c r="AC60" s="776"/>
      <c r="AD60" s="107"/>
    </row>
    <row r="61" spans="6:30" ht="15.75" customHeight="1" x14ac:dyDescent="0.25">
      <c r="F61" s="776"/>
      <c r="G61" s="778"/>
      <c r="H61" s="776"/>
      <c r="I61" s="776"/>
      <c r="J61" s="776"/>
      <c r="K61" s="776"/>
      <c r="L61" s="776"/>
      <c r="Y61" s="776"/>
      <c r="Z61" s="776"/>
      <c r="AA61" s="776"/>
      <c r="AB61" s="776"/>
      <c r="AC61" s="776"/>
      <c r="AD61" s="108"/>
    </row>
    <row r="62" spans="6:30" ht="15.75" customHeight="1" x14ac:dyDescent="0.25">
      <c r="F62" s="776"/>
      <c r="G62" s="778"/>
      <c r="H62" s="776"/>
      <c r="I62" s="776"/>
      <c r="J62" s="776"/>
      <c r="K62" s="776"/>
      <c r="L62" s="776"/>
      <c r="Y62" s="776"/>
      <c r="Z62" s="776"/>
      <c r="AA62" s="776"/>
      <c r="AB62" s="776"/>
      <c r="AC62" s="776"/>
      <c r="AD62" s="123"/>
    </row>
    <row r="63" spans="6:30" ht="15.75" customHeight="1" x14ac:dyDescent="0.25">
      <c r="F63" s="776"/>
      <c r="G63" s="778"/>
      <c r="H63" s="776"/>
      <c r="I63" s="776"/>
      <c r="J63" s="776"/>
      <c r="K63" s="776"/>
      <c r="L63" s="776"/>
      <c r="Y63" s="776"/>
      <c r="Z63" s="776"/>
      <c r="AA63" s="776"/>
      <c r="AB63" s="776"/>
      <c r="AC63" s="776"/>
      <c r="AD63" s="123"/>
    </row>
    <row r="64" spans="6:30" ht="15.75" customHeight="1" x14ac:dyDescent="0.25">
      <c r="F64" s="776"/>
      <c r="G64" s="778"/>
      <c r="H64" s="776"/>
      <c r="I64" s="776"/>
      <c r="J64" s="776"/>
      <c r="K64" s="776"/>
      <c r="L64" s="776"/>
      <c r="Y64" s="776"/>
      <c r="Z64" s="776"/>
      <c r="AA64" s="776"/>
      <c r="AB64" s="776"/>
      <c r="AC64" s="776"/>
      <c r="AD64" s="107"/>
    </row>
    <row r="65" spans="2:30" ht="15.75" customHeight="1" x14ac:dyDescent="0.25">
      <c r="F65" s="776"/>
      <c r="G65" s="778"/>
      <c r="H65" s="776"/>
      <c r="I65" s="776"/>
      <c r="J65" s="776"/>
      <c r="K65" s="776"/>
      <c r="L65" s="776"/>
      <c r="Y65" s="776"/>
      <c r="Z65" s="776"/>
      <c r="AA65" s="776"/>
      <c r="AB65" s="776"/>
      <c r="AC65" s="106"/>
      <c r="AD65" s="106"/>
    </row>
    <row r="66" spans="2:30" ht="30" customHeight="1" x14ac:dyDescent="0.25">
      <c r="F66" s="776"/>
      <c r="G66" s="778"/>
      <c r="H66" s="776"/>
      <c r="I66" s="776"/>
      <c r="J66" s="776"/>
      <c r="K66" s="776"/>
      <c r="L66" s="776"/>
      <c r="Y66" s="776"/>
      <c r="Z66" s="776"/>
      <c r="AA66" s="776"/>
      <c r="AB66" s="106"/>
      <c r="AC66" s="106"/>
      <c r="AD66" s="106"/>
    </row>
    <row r="67" spans="2:30" ht="15.75" customHeight="1" x14ac:dyDescent="0.25">
      <c r="F67" s="776"/>
      <c r="G67" s="106"/>
      <c r="H67" s="106"/>
      <c r="I67" s="106"/>
      <c r="J67" s="106"/>
      <c r="K67" s="776"/>
      <c r="L67" s="776"/>
      <c r="Y67" s="776"/>
      <c r="Z67" s="776"/>
      <c r="AA67" s="776"/>
      <c r="AB67" s="106"/>
      <c r="AC67" s="106"/>
      <c r="AD67" s="106"/>
    </row>
    <row r="68" spans="2:30" ht="15.75" customHeight="1" x14ac:dyDescent="0.25">
      <c r="F68" s="776"/>
      <c r="G68" s="778"/>
      <c r="H68" s="776"/>
      <c r="I68" s="776"/>
      <c r="J68" s="776"/>
      <c r="K68" s="776"/>
      <c r="L68" s="776"/>
      <c r="Y68" s="776"/>
      <c r="Z68" s="776"/>
      <c r="AA68" s="776"/>
      <c r="AB68" s="776"/>
      <c r="AC68" s="776"/>
      <c r="AD68" s="776"/>
    </row>
    <row r="69" spans="2:30" ht="15.75" customHeight="1" x14ac:dyDescent="0.25">
      <c r="F69" s="776"/>
      <c r="G69" s="778"/>
      <c r="H69" s="776"/>
      <c r="I69" s="776"/>
      <c r="J69" s="776"/>
      <c r="K69" s="776"/>
      <c r="L69" s="776"/>
      <c r="Y69" s="776"/>
      <c r="Z69" s="776"/>
      <c r="AA69" s="99"/>
      <c r="AB69" s="776"/>
      <c r="AC69" s="776"/>
      <c r="AD69" s="776"/>
    </row>
    <row r="70" spans="2:30" ht="15.75" customHeight="1" x14ac:dyDescent="0.25">
      <c r="F70" s="776"/>
      <c r="G70" s="778"/>
      <c r="H70" s="776"/>
      <c r="I70" s="776"/>
      <c r="J70" s="776"/>
      <c r="K70" s="776"/>
      <c r="L70" s="776"/>
      <c r="Y70" s="776"/>
      <c r="Z70" s="776"/>
      <c r="AA70" s="776"/>
      <c r="AB70" s="776"/>
      <c r="AC70" s="776"/>
      <c r="AD70" s="776"/>
    </row>
    <row r="71" spans="2:30" ht="15.75" customHeight="1" x14ac:dyDescent="0.25">
      <c r="F71" s="776"/>
      <c r="G71" s="778"/>
      <c r="H71" s="776"/>
      <c r="I71" s="776"/>
      <c r="J71" s="776"/>
      <c r="K71" s="776"/>
      <c r="L71" s="776"/>
      <c r="Y71" s="776"/>
      <c r="Z71" s="776"/>
      <c r="AA71" s="776"/>
      <c r="AB71" s="776"/>
      <c r="AC71" s="776"/>
      <c r="AD71" s="776"/>
    </row>
    <row r="72" spans="2:30" ht="15.75" customHeight="1" x14ac:dyDescent="0.25">
      <c r="F72" s="776"/>
      <c r="G72" s="778"/>
      <c r="H72" s="776"/>
      <c r="I72" s="776"/>
      <c r="J72" s="776"/>
      <c r="K72" s="776"/>
      <c r="L72" s="776"/>
      <c r="Y72" s="776"/>
      <c r="Z72" s="776"/>
      <c r="AA72" s="776"/>
      <c r="AB72" s="776"/>
      <c r="AC72" s="776"/>
      <c r="AD72" s="776"/>
    </row>
    <row r="73" spans="2:30" ht="15.75" customHeight="1" x14ac:dyDescent="0.25">
      <c r="F73" s="776"/>
      <c r="G73" s="778"/>
      <c r="H73" s="776"/>
      <c r="I73" s="776"/>
      <c r="J73" s="776"/>
      <c r="K73" s="776"/>
      <c r="L73" s="776"/>
      <c r="Y73" s="776"/>
      <c r="Z73" s="776"/>
      <c r="AA73" s="776"/>
      <c r="AB73" s="776"/>
      <c r="AC73" s="776"/>
      <c r="AD73" s="776"/>
    </row>
    <row r="74" spans="2:30" ht="15.75" customHeight="1" x14ac:dyDescent="0.25">
      <c r="F74" s="776"/>
      <c r="G74" s="778"/>
      <c r="H74" s="776"/>
      <c r="I74" s="776"/>
      <c r="J74" s="776"/>
      <c r="K74" s="776"/>
      <c r="L74" s="776"/>
      <c r="Y74" s="776"/>
      <c r="Z74" s="776"/>
      <c r="AA74" s="776"/>
      <c r="AB74" s="776"/>
      <c r="AC74" s="776"/>
      <c r="AD74" s="776"/>
    </row>
    <row r="75" spans="2:30" ht="15.75" customHeight="1" x14ac:dyDescent="0.25">
      <c r="F75" s="776"/>
      <c r="G75" s="778"/>
      <c r="H75" s="776"/>
      <c r="I75" s="776"/>
      <c r="J75" s="776"/>
      <c r="K75" s="776"/>
      <c r="L75" s="776"/>
      <c r="Y75" s="776"/>
      <c r="Z75" s="776"/>
      <c r="AA75" s="776"/>
      <c r="AB75" s="776"/>
      <c r="AC75" s="776"/>
      <c r="AD75" s="776"/>
    </row>
    <row r="76" spans="2:30" ht="15.75" customHeight="1" x14ac:dyDescent="0.25">
      <c r="F76" s="776"/>
      <c r="G76" s="778"/>
      <c r="H76" s="776"/>
      <c r="I76" s="776"/>
      <c r="J76" s="776"/>
      <c r="K76" s="776"/>
      <c r="L76" s="776"/>
      <c r="Y76" s="776"/>
      <c r="Z76" s="776"/>
      <c r="AA76" s="776"/>
      <c r="AB76" s="776"/>
      <c r="AC76" s="776"/>
      <c r="AD76" s="776"/>
    </row>
    <row r="77" spans="2:30" ht="15.75" customHeight="1" x14ac:dyDescent="0.25">
      <c r="F77" s="776"/>
      <c r="G77" s="778"/>
      <c r="H77" s="776"/>
      <c r="I77" s="776"/>
      <c r="J77" s="776"/>
      <c r="K77" s="776"/>
      <c r="L77" s="776"/>
      <c r="Y77" s="776"/>
      <c r="Z77" s="776"/>
      <c r="AA77" s="776"/>
      <c r="AB77" s="776"/>
      <c r="AC77" s="776"/>
      <c r="AD77" s="776"/>
    </row>
    <row r="78" spans="2:30" ht="15.75" customHeight="1" x14ac:dyDescent="0.25">
      <c r="B78" s="776"/>
      <c r="C78" s="776"/>
      <c r="D78" s="777"/>
      <c r="E78" s="776"/>
      <c r="F78" s="776"/>
      <c r="G78" s="778"/>
      <c r="H78" s="776"/>
      <c r="I78" s="776"/>
      <c r="J78" s="776"/>
      <c r="K78" s="776"/>
      <c r="L78" s="776"/>
      <c r="Y78" s="776"/>
      <c r="Z78" s="776"/>
      <c r="AA78" s="776"/>
      <c r="AB78" s="776"/>
      <c r="AC78" s="776"/>
      <c r="AD78" s="776"/>
    </row>
    <row r="85" ht="30" customHeight="1" x14ac:dyDescent="0.25"/>
  </sheetData>
  <sheetProtection algorithmName="SHA-512" hashValue="sV6HwGwUH54+GZHEiMKWcIjEgCtGwWPN49bntMELmD1H53kKz10M6qNxFsFhybBhK4TXcsydX1zu7ulz3XAm8w==" saltValue="nTkqrjLF2Rk4tNwrZOQF9Q==" spinCount="100000" sheet="1" objects="1" scenarios="1" selectLockedCells="1"/>
  <dataConsolidate/>
  <mergeCells count="101">
    <mergeCell ref="Y24:AC29"/>
    <mergeCell ref="M27:P27"/>
    <mergeCell ref="M26:P26"/>
    <mergeCell ref="M25:P25"/>
    <mergeCell ref="S24:W26"/>
    <mergeCell ref="S27:W29"/>
    <mergeCell ref="M24:P24"/>
    <mergeCell ref="B2:E2"/>
    <mergeCell ref="B3:C4"/>
    <mergeCell ref="B5:C6"/>
    <mergeCell ref="H22:K22"/>
    <mergeCell ref="H23:K23"/>
    <mergeCell ref="D3:E4"/>
    <mergeCell ref="D5:E6"/>
    <mergeCell ref="B7:E7"/>
    <mergeCell ref="D11:E11"/>
    <mergeCell ref="D14:E14"/>
    <mergeCell ref="E8:E9"/>
    <mergeCell ref="B8:D9"/>
    <mergeCell ref="B22:C22"/>
    <mergeCell ref="B21:C21"/>
    <mergeCell ref="B20:C20"/>
    <mergeCell ref="B10:E10"/>
    <mergeCell ref="M2:Q2"/>
    <mergeCell ref="Y2:AB2"/>
    <mergeCell ref="H19:K19"/>
    <mergeCell ref="H20:K20"/>
    <mergeCell ref="H18:K18"/>
    <mergeCell ref="T2:W2"/>
    <mergeCell ref="H17:K17"/>
    <mergeCell ref="M12:P12"/>
    <mergeCell ref="M13:P13"/>
    <mergeCell ref="M17:Q18"/>
    <mergeCell ref="M7:P7"/>
    <mergeCell ref="M4:P4"/>
    <mergeCell ref="M3:P3"/>
    <mergeCell ref="M5:P5"/>
    <mergeCell ref="M6:P6"/>
    <mergeCell ref="M9:P9"/>
    <mergeCell ref="M10:P10"/>
    <mergeCell ref="M8:P8"/>
    <mergeCell ref="M19:P19"/>
    <mergeCell ref="S52:W52"/>
    <mergeCell ref="P42:Q42"/>
    <mergeCell ref="N52:Q52"/>
    <mergeCell ref="H24:K24"/>
    <mergeCell ref="H26:K26"/>
    <mergeCell ref="H44:K44"/>
    <mergeCell ref="H45:K45"/>
    <mergeCell ref="H40:K40"/>
    <mergeCell ref="H41:K41"/>
    <mergeCell ref="H42:K42"/>
    <mergeCell ref="H43:K43"/>
    <mergeCell ref="H39:K39"/>
    <mergeCell ref="P40:Q40"/>
    <mergeCell ref="G47:K47"/>
    <mergeCell ref="P39:Q39"/>
    <mergeCell ref="M44:Q45"/>
    <mergeCell ref="P41:Q41"/>
    <mergeCell ref="M31:P31"/>
    <mergeCell ref="M30:P30"/>
    <mergeCell ref="N28:P28"/>
    <mergeCell ref="B47:D47"/>
    <mergeCell ref="V32:W32"/>
    <mergeCell ref="V33:W33"/>
    <mergeCell ref="M34:P34"/>
    <mergeCell ref="M33:P33"/>
    <mergeCell ref="M36:P36"/>
    <mergeCell ref="M32:P32"/>
    <mergeCell ref="B45:D45"/>
    <mergeCell ref="M47:Q47"/>
    <mergeCell ref="B46:D46"/>
    <mergeCell ref="G38:K38"/>
    <mergeCell ref="H36:K36"/>
    <mergeCell ref="H35:K35"/>
    <mergeCell ref="H34:K34"/>
    <mergeCell ref="H33:K33"/>
    <mergeCell ref="M22:P22"/>
    <mergeCell ref="M23:P23"/>
    <mergeCell ref="M29:P29"/>
    <mergeCell ref="H32:K32"/>
    <mergeCell ref="M35:P35"/>
    <mergeCell ref="M11:P11"/>
    <mergeCell ref="G16:K16"/>
    <mergeCell ref="H21:K21"/>
    <mergeCell ref="H25:K25"/>
    <mergeCell ref="H31:K31"/>
    <mergeCell ref="H30:K30"/>
    <mergeCell ref="H29:K29"/>
    <mergeCell ref="M14:P14"/>
    <mergeCell ref="M20:P20"/>
    <mergeCell ref="M21:P21"/>
    <mergeCell ref="D28:D30"/>
    <mergeCell ref="E28:E30"/>
    <mergeCell ref="B24:C24"/>
    <mergeCell ref="B26:C26"/>
    <mergeCell ref="B25:C25"/>
    <mergeCell ref="C28:C30"/>
    <mergeCell ref="E25:E26"/>
    <mergeCell ref="B28:B30"/>
    <mergeCell ref="G28:K28"/>
  </mergeCells>
  <phoneticPr fontId="10" type="noConversion"/>
  <conditionalFormatting sqref="B8:E9">
    <cfRule type="expression" dxfId="46" priority="1">
      <formula>$D$5&lt;&gt;"CPS"</formula>
    </cfRule>
  </conditionalFormatting>
  <conditionalFormatting sqref="D24">
    <cfRule type="expression" dxfId="45" priority="65">
      <formula>#REF!&gt;#REF!</formula>
    </cfRule>
  </conditionalFormatting>
  <conditionalFormatting sqref="M28">
    <cfRule type="containsText" dxfId="44" priority="9" operator="containsText" text="LOSS">
      <formula>NOT(ISERROR(SEARCH("LOSS",M28)))</formula>
    </cfRule>
  </conditionalFormatting>
  <conditionalFormatting sqref="M33:P33">
    <cfRule type="expression" dxfId="43" priority="6">
      <formula>AGE&gt;60</formula>
    </cfRule>
  </conditionalFormatting>
  <conditionalFormatting sqref="Q28">
    <cfRule type="expression" dxfId="42" priority="7">
      <formula>$Q$28&gt;0</formula>
    </cfRule>
    <cfRule type="expression" dxfId="41" priority="8">
      <formula>$Q$28&lt;0</formula>
    </cfRule>
  </conditionalFormatting>
  <dataValidations count="21">
    <dataValidation type="list" allowBlank="1" showInputMessage="1" showErrorMessage="1" sqref="D11:E11" xr:uid="{00000000-0002-0000-0000-000001000000}">
      <formula1>Months_20</formula1>
    </dataValidation>
    <dataValidation type="list" allowBlank="1" showInputMessage="1" showErrorMessage="1" sqref="D3:E4" xr:uid="{00000000-0002-0000-0000-000003000000}">
      <formula1>BP_2021</formula1>
    </dataValidation>
    <dataValidation type="list" allowBlank="1" showInputMessage="1" showErrorMessage="1" sqref="D12" xr:uid="{00000000-0002-0000-0000-000004000000}">
      <formula1>AAS_Present_Year</formula1>
    </dataValidation>
    <dataValidation type="list" allowBlank="1" showInputMessage="1" showErrorMessage="1" sqref="D31:D41 D43:D44 E20:E22" xr:uid="{00000000-0002-0000-0000-000005000000}">
      <formula1>DA_HRA_Months</formula1>
    </dataValidation>
    <dataValidation type="list" allowBlank="1" showInputMessage="1" showErrorMessage="1" sqref="E12 E45:E46" xr:uid="{00000000-0002-0000-0000-000006000000}">
      <formula1>DATES</formula1>
    </dataValidation>
    <dataValidation type="list" allowBlank="1" showInputMessage="1" showErrorMessage="1" sqref="D5:E6" xr:uid="{00000000-0002-0000-0000-000007000000}">
      <formula1>"GPF,CPS,ZPPF"</formula1>
    </dataValidation>
    <dataValidation type="list" allowBlank="1" showInputMessage="1" showErrorMessage="1" errorTitle="PERUMAL Says...." error="SELECT Correct H.R.A. %" sqref="C43" xr:uid="{00000000-0002-0000-0000-000008000000}">
      <formula1>"00.00%,10.00%,12.00%,16.00%,24.00%"</formula1>
    </dataValidation>
    <dataValidation type="list" allowBlank="1" showInputMessage="1" showErrorMessage="1" sqref="W34" xr:uid="{00000000-0002-0000-0000-00000A000000}">
      <formula1>EL_MONTHS_01</formula1>
    </dataValidation>
    <dataValidation type="list" allowBlank="1" showInputMessage="1" showErrorMessage="1" sqref="W35" xr:uid="{00000000-0002-0000-0000-00000B000000}">
      <formula1>EL_MONTHS_02</formula1>
    </dataValidation>
    <dataValidation type="list" allowBlank="1" showInputMessage="1" showErrorMessage="1" sqref="D13" xr:uid="{00000000-0002-0000-0000-00000C000000}">
      <formula1>EL_MONTHS_03</formula1>
    </dataValidation>
    <dataValidation type="list" showInputMessage="1" showErrorMessage="1" sqref="AD58 M22:P22" xr:uid="{00000000-0002-0000-0000-00000F000000}">
      <formula1>"INCOME FROM CAPITAL GAINS,INCOME FROM FAMILY PENSION"</formula1>
    </dataValidation>
    <dataValidation type="list" allowBlank="1" showInputMessage="1" sqref="M10:P12" xr:uid="{00000000-0002-0000-0000-000010000000}">
      <formula1>OTHER_SAVINGS_LIST</formula1>
    </dataValidation>
    <dataValidation type="list" allowBlank="1" showInputMessage="1" showErrorMessage="1" sqref="E8:E9 Q14" xr:uid="{00000000-0002-0000-0000-000011000000}">
      <formula1>"YES,NO"</formula1>
    </dataValidation>
    <dataValidation type="list" allowBlank="1" showInputMessage="1" showErrorMessage="1" sqref="G29" xr:uid="{00000000-0002-0000-0000-000012000000}">
      <formula1>"Sri.,Smt.,Kum.,Dr.,Mr.,Ms.,Mrs."</formula1>
    </dataValidation>
    <dataValidation type="list" allowBlank="1" showInputMessage="1" showErrorMessage="1" sqref="G39 G17" xr:uid="{00000000-0002-0000-0000-000013000000}">
      <formula1>"Sri.  ,Smt.  ,Kum.  ,Dr.  ,Mr.  ,Ms.  ,Mrs.  "</formula1>
    </dataValidation>
    <dataValidation type="list" allowBlank="1" showInputMessage="1" showErrorMessage="1" errorTitle="PERUMAL Says...." error="SELECT Correct H.R.A. %" sqref="E43" xr:uid="{00000000-0002-0000-0000-000014000000}">
      <formula1>"00.00%,08.00%,10.00%,12.00%,16.00%,24.00%"</formula1>
    </dataValidation>
    <dataValidation type="whole" allowBlank="1" showInputMessage="1" showErrorMessage="1" errorTitle="PERUMAL Says..." error="The Max. No.of_x000a_Months = 12" sqref="E18" xr:uid="{00000000-0002-0000-0000-00000D000000}">
      <formula1>0</formula1>
      <formula2>12</formula2>
    </dataValidation>
    <dataValidation type="list" allowBlank="1" showInputMessage="1" showErrorMessage="1" sqref="M34:P34" xr:uid="{E2F137EF-2505-42B6-AA30-39E7B3CBD87C}">
      <formula1>"Deduction for DISABLED (SELF) u/s 80U,Deduction for DISABLED (Dependent) u/s 80DD"</formula1>
    </dataValidation>
    <dataValidation type="list" allowBlank="1" showInputMessage="1" showErrorMessage="1" sqref="E13 V34:V35" xr:uid="{00000000-0002-0000-0000-000009000000}">
      <formula1>"00,15,30"</formula1>
    </dataValidation>
    <dataValidation type="list" allowBlank="1" showInputMessage="1" showErrorMessage="1" sqref="D14:E14" xr:uid="{71D61518-DE17-477F-9B07-1AE425EEBCC7}">
      <formula1>Age_Group</formula1>
    </dataValidation>
    <dataValidation type="list" showInputMessage="1" showErrorMessage="1" promptTitle="SELECT YOUR OPTION" prompt="_x000a_OLD REGIME_x000a_NEW REGIME_x000a_AUTO COMPUTATION" sqref="D26" xr:uid="{90866AD8-C5FE-4AF2-8402-504B1847874C}">
      <formula1>"OLD,NEW,AUTO"</formula1>
    </dataValidation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51C9-2852-4102-951C-A72B9FD12D6E}">
  <sheetPr codeName="Sheet11">
    <tabColor rgb="FF0000FF"/>
  </sheetPr>
  <dimension ref="A1:BA88"/>
  <sheetViews>
    <sheetView showGridLines="0" showRowColHeaders="0" zoomScale="90" zoomScaleNormal="90" zoomScaleSheetLayoutView="100" workbookViewId="0">
      <pane ySplit="3" topLeftCell="A64" activePane="bottomLeft" state="frozen"/>
      <selection activeCell="B4" sqref="B4:K4"/>
      <selection pane="bottomLeft" activeCell="B4" sqref="B4:K4"/>
    </sheetView>
  </sheetViews>
  <sheetFormatPr defaultColWidth="9.14453125" defaultRowHeight="15" x14ac:dyDescent="0.2"/>
  <cols>
    <col min="1" max="1" width="1.74609375" style="99" customWidth="1"/>
    <col min="2" max="4" width="3.765625" style="99" customWidth="1" collapsed="1"/>
    <col min="5" max="5" width="4.70703125" style="99" bestFit="1" customWidth="1"/>
    <col min="6" max="6" width="14.66015625" style="99" customWidth="1" collapsed="1"/>
    <col min="7" max="7" width="13.71875" style="99" customWidth="1" collapsed="1"/>
    <col min="8" max="10" width="14.66015625" style="99" customWidth="1" collapsed="1"/>
    <col min="11" max="11" width="13.71875" style="99" customWidth="1" collapsed="1"/>
    <col min="12" max="12" width="1.74609375" style="99" customWidth="1"/>
    <col min="13" max="14" width="9.14453125" style="99"/>
    <col min="15" max="15" width="9.14453125" style="99" collapsed="1"/>
    <col min="16" max="23" width="9.14453125" style="99"/>
    <col min="24" max="24" width="9.14453125" style="99" collapsed="1"/>
    <col min="25" max="53" width="9.14453125" style="99"/>
    <col min="54" max="16384" width="9.14453125" style="99" collapsed="1"/>
  </cols>
  <sheetData>
    <row r="1" spans="2:11" ht="9" customHeight="1" thickBot="1" x14ac:dyDescent="0.25"/>
    <row r="2" spans="2:11" ht="15" customHeight="1" thickTop="1" x14ac:dyDescent="0.2">
      <c r="B2" s="1582" t="s">
        <v>549</v>
      </c>
      <c r="C2" s="1583"/>
      <c r="D2" s="1583"/>
      <c r="E2" s="1583"/>
      <c r="F2" s="1583"/>
      <c r="G2" s="1583"/>
      <c r="H2" s="1583"/>
      <c r="I2" s="1583"/>
      <c r="J2" s="1583"/>
      <c r="K2" s="1584"/>
    </row>
    <row r="3" spans="2:11" ht="20.25" customHeight="1" x14ac:dyDescent="0.2">
      <c r="B3" s="1585"/>
      <c r="C3" s="1586"/>
      <c r="D3" s="1586"/>
      <c r="E3" s="1586"/>
      <c r="F3" s="1586"/>
      <c r="G3" s="1586"/>
      <c r="H3" s="1586"/>
      <c r="I3" s="1586"/>
      <c r="J3" s="1586"/>
      <c r="K3" s="1587"/>
    </row>
    <row r="4" spans="2:11" ht="18" customHeight="1" x14ac:dyDescent="0.2">
      <c r="B4" s="1588" t="s">
        <v>550</v>
      </c>
      <c r="C4" s="1589"/>
      <c r="D4" s="1589"/>
      <c r="E4" s="1589"/>
      <c r="F4" s="1589"/>
      <c r="G4" s="1589"/>
      <c r="H4" s="1589"/>
      <c r="I4" s="1589"/>
      <c r="J4" s="1589"/>
      <c r="K4" s="1590"/>
    </row>
    <row r="5" spans="2:11" ht="18.600000000000001" customHeight="1" x14ac:dyDescent="0.2">
      <c r="B5" s="652">
        <v>1</v>
      </c>
      <c r="C5" s="653" t="s">
        <v>551</v>
      </c>
      <c r="D5" s="653"/>
      <c r="E5" s="654"/>
      <c r="F5" s="654"/>
      <c r="G5" s="654"/>
      <c r="H5" s="1591" t="str">
        <f>'ANNEXURE II'!C4</f>
        <v xml:space="preserve">Sri.  PERUMALLA RAMANJANEYULU  </v>
      </c>
      <c r="I5" s="1591"/>
      <c r="J5" s="1591"/>
      <c r="K5" s="1592"/>
    </row>
    <row r="6" spans="2:11" ht="17.100000000000001" customHeight="1" x14ac:dyDescent="0.2">
      <c r="B6" s="652"/>
      <c r="C6" s="653"/>
      <c r="D6" s="653"/>
      <c r="E6" s="654"/>
      <c r="F6" s="654"/>
      <c r="G6" s="654"/>
      <c r="H6" s="1591" t="str">
        <f>'ANNEXURE II'!C5</f>
        <v xml:space="preserve">SECONDARY GRADE TEACHER  </v>
      </c>
      <c r="I6" s="1591"/>
      <c r="J6" s="1591"/>
      <c r="K6" s="1592"/>
    </row>
    <row r="7" spans="2:11" ht="17.100000000000001" customHeight="1" x14ac:dyDescent="0.2">
      <c r="B7" s="652">
        <v>2</v>
      </c>
      <c r="C7" s="653" t="s">
        <v>552</v>
      </c>
      <c r="D7" s="653"/>
      <c r="E7" s="654"/>
      <c r="F7" s="654"/>
      <c r="G7" s="654"/>
      <c r="H7" s="1593" t="str">
        <f>'ANNEXURE I'!AA3</f>
        <v>MYPAN1234S</v>
      </c>
      <c r="I7" s="1593"/>
      <c r="J7" s="1593"/>
      <c r="K7" s="1594"/>
    </row>
    <row r="8" spans="2:11" ht="17.100000000000001" customHeight="1" x14ac:dyDescent="0.2">
      <c r="B8" s="652">
        <v>3</v>
      </c>
      <c r="C8" s="653" t="s">
        <v>553</v>
      </c>
      <c r="D8" s="653"/>
      <c r="E8" s="654"/>
      <c r="F8" s="654"/>
      <c r="G8" s="654"/>
      <c r="H8" s="1578" t="s">
        <v>554</v>
      </c>
      <c r="I8" s="1578"/>
      <c r="J8" s="1578"/>
      <c r="K8" s="1579"/>
    </row>
    <row r="9" spans="2:11" ht="17.100000000000001" customHeight="1" x14ac:dyDescent="0.2">
      <c r="B9" s="655"/>
      <c r="C9" s="1595" t="s">
        <v>555</v>
      </c>
      <c r="D9" s="1595"/>
      <c r="E9" s="1595"/>
      <c r="F9" s="1595"/>
      <c r="G9" s="1595"/>
      <c r="H9" s="1595"/>
      <c r="I9" s="1595"/>
      <c r="J9" s="1595"/>
      <c r="K9" s="1596"/>
    </row>
    <row r="10" spans="2:11" ht="17.100000000000001" customHeight="1" x14ac:dyDescent="0.2">
      <c r="B10" s="655"/>
      <c r="C10" s="1595"/>
      <c r="D10" s="1595"/>
      <c r="E10" s="1595"/>
      <c r="F10" s="1595"/>
      <c r="G10" s="1595"/>
      <c r="H10" s="1595"/>
      <c r="I10" s="1595"/>
      <c r="J10" s="1595"/>
      <c r="K10" s="1596"/>
    </row>
    <row r="11" spans="2:11" ht="17.100000000000001" customHeight="1" x14ac:dyDescent="0.2">
      <c r="B11" s="655"/>
      <c r="C11" s="1595"/>
      <c r="D11" s="1595"/>
      <c r="E11" s="1595"/>
      <c r="F11" s="1595"/>
      <c r="G11" s="1595"/>
      <c r="H11" s="1595"/>
      <c r="I11" s="1595"/>
      <c r="J11" s="1595"/>
      <c r="K11" s="1596"/>
    </row>
    <row r="12" spans="2:11" ht="17.100000000000001" customHeight="1" x14ac:dyDescent="0.2">
      <c r="B12" s="656">
        <v>1</v>
      </c>
      <c r="C12" s="657" t="s">
        <v>556</v>
      </c>
      <c r="D12" s="1597" t="s">
        <v>557</v>
      </c>
      <c r="E12" s="1597"/>
      <c r="F12" s="1597"/>
      <c r="G12" s="1597"/>
      <c r="H12" s="1597"/>
      <c r="I12" s="1597"/>
      <c r="J12" s="1598">
        <f>'10E DATA'!E21</f>
        <v>0</v>
      </c>
      <c r="K12" s="1599"/>
    </row>
    <row r="13" spans="2:11" ht="17.100000000000001" customHeight="1" x14ac:dyDescent="0.2">
      <c r="B13" s="656"/>
      <c r="C13" s="657"/>
      <c r="D13" s="1597"/>
      <c r="E13" s="1597"/>
      <c r="F13" s="1597"/>
      <c r="G13" s="1597"/>
      <c r="H13" s="1597"/>
      <c r="I13" s="1597"/>
      <c r="J13" s="1600"/>
      <c r="K13" s="1601"/>
    </row>
    <row r="14" spans="2:11" ht="17.100000000000001" customHeight="1" x14ac:dyDescent="0.2">
      <c r="B14" s="656"/>
      <c r="C14" s="657" t="s">
        <v>558</v>
      </c>
      <c r="D14" s="1597" t="s">
        <v>559</v>
      </c>
      <c r="E14" s="1597"/>
      <c r="F14" s="1597"/>
      <c r="G14" s="1597"/>
      <c r="H14" s="1597"/>
      <c r="I14" s="1597"/>
      <c r="J14" s="1600" t="s">
        <v>560</v>
      </c>
      <c r="K14" s="1601"/>
    </row>
    <row r="15" spans="2:11" ht="17.100000000000001" customHeight="1" x14ac:dyDescent="0.2">
      <c r="B15" s="656"/>
      <c r="C15" s="657"/>
      <c r="D15" s="1597"/>
      <c r="E15" s="1597"/>
      <c r="F15" s="1597"/>
      <c r="G15" s="1597"/>
      <c r="H15" s="1597"/>
      <c r="I15" s="1597"/>
      <c r="J15" s="1600"/>
      <c r="K15" s="1601"/>
    </row>
    <row r="16" spans="2:11" ht="17.100000000000001" customHeight="1" x14ac:dyDescent="0.2">
      <c r="B16" s="656"/>
      <c r="C16" s="657"/>
      <c r="D16" s="1597"/>
      <c r="E16" s="1597"/>
      <c r="F16" s="1597"/>
      <c r="G16" s="1597"/>
      <c r="H16" s="1597"/>
      <c r="I16" s="1597"/>
      <c r="J16" s="1600"/>
      <c r="K16" s="1601"/>
    </row>
    <row r="17" spans="2:11" ht="17.100000000000001" customHeight="1" x14ac:dyDescent="0.2">
      <c r="B17" s="656"/>
      <c r="C17" s="657" t="s">
        <v>561</v>
      </c>
      <c r="D17" s="1597" t="s">
        <v>562</v>
      </c>
      <c r="E17" s="1597"/>
      <c r="F17" s="1597"/>
      <c r="G17" s="1597"/>
      <c r="H17" s="1597"/>
      <c r="I17" s="1597"/>
      <c r="J17" s="1600" t="s">
        <v>560</v>
      </c>
      <c r="K17" s="1601"/>
    </row>
    <row r="18" spans="2:11" ht="17.100000000000001" customHeight="1" x14ac:dyDescent="0.2">
      <c r="B18" s="656"/>
      <c r="C18" s="657"/>
      <c r="D18" s="1597"/>
      <c r="E18" s="1597"/>
      <c r="F18" s="1597"/>
      <c r="G18" s="1597"/>
      <c r="H18" s="1597"/>
      <c r="I18" s="1597"/>
      <c r="J18" s="1600"/>
      <c r="K18" s="1601"/>
    </row>
    <row r="19" spans="2:11" ht="17.100000000000001" customHeight="1" x14ac:dyDescent="0.2">
      <c r="B19" s="656"/>
      <c r="C19" s="657"/>
      <c r="D19" s="1597"/>
      <c r="E19" s="1597"/>
      <c r="F19" s="1597"/>
      <c r="G19" s="1597"/>
      <c r="H19" s="1597"/>
      <c r="I19" s="1597"/>
      <c r="J19" s="1600"/>
      <c r="K19" s="1601"/>
    </row>
    <row r="20" spans="2:11" ht="17.100000000000001" customHeight="1" x14ac:dyDescent="0.2">
      <c r="B20" s="656"/>
      <c r="C20" s="657"/>
      <c r="D20" s="1597"/>
      <c r="E20" s="1597"/>
      <c r="F20" s="1597"/>
      <c r="G20" s="1597"/>
      <c r="H20" s="1597"/>
      <c r="I20" s="1597"/>
      <c r="J20" s="1600"/>
      <c r="K20" s="1601"/>
    </row>
    <row r="21" spans="2:11" ht="20.100000000000001" customHeight="1" x14ac:dyDescent="0.2">
      <c r="B21" s="656"/>
      <c r="C21" s="657"/>
      <c r="D21" s="1597"/>
      <c r="E21" s="1597"/>
      <c r="F21" s="1597"/>
      <c r="G21" s="1597"/>
      <c r="H21" s="1597"/>
      <c r="I21" s="1597"/>
      <c r="J21" s="1600"/>
      <c r="K21" s="1601"/>
    </row>
    <row r="22" spans="2:11" ht="15" customHeight="1" x14ac:dyDescent="0.2">
      <c r="B22" s="656"/>
      <c r="C22" s="657"/>
      <c r="D22" s="657"/>
      <c r="E22" s="657"/>
      <c r="F22" s="657"/>
      <c r="G22" s="657"/>
      <c r="H22" s="657"/>
      <c r="I22" s="657"/>
      <c r="J22" s="1600"/>
      <c r="K22" s="1601"/>
    </row>
    <row r="23" spans="2:11" ht="15" customHeight="1" x14ac:dyDescent="0.2">
      <c r="B23" s="656"/>
      <c r="C23" s="657" t="s">
        <v>563</v>
      </c>
      <c r="D23" s="1597" t="s">
        <v>564</v>
      </c>
      <c r="E23" s="1597"/>
      <c r="F23" s="1597"/>
      <c r="G23" s="1597"/>
      <c r="H23" s="1597"/>
      <c r="I23" s="1597"/>
      <c r="J23" s="1600" t="s">
        <v>560</v>
      </c>
      <c r="K23" s="1601"/>
    </row>
    <row r="24" spans="2:11" ht="15" customHeight="1" x14ac:dyDescent="0.2">
      <c r="B24" s="656"/>
      <c r="C24" s="657"/>
      <c r="D24" s="1597"/>
      <c r="E24" s="1597"/>
      <c r="F24" s="1597"/>
      <c r="G24" s="1597"/>
      <c r="H24" s="1597"/>
      <c r="I24" s="1597"/>
      <c r="J24" s="1600"/>
      <c r="K24" s="1601"/>
    </row>
    <row r="25" spans="2:11" ht="15" customHeight="1" x14ac:dyDescent="0.2">
      <c r="B25" s="656"/>
      <c r="C25" s="657"/>
      <c r="D25" s="657"/>
      <c r="E25" s="657"/>
      <c r="F25" s="657"/>
      <c r="G25" s="657"/>
      <c r="H25" s="657"/>
      <c r="I25" s="657"/>
      <c r="J25" s="1600"/>
      <c r="K25" s="1601"/>
    </row>
    <row r="26" spans="2:11" ht="15" customHeight="1" x14ac:dyDescent="0.2">
      <c r="B26" s="656">
        <v>2</v>
      </c>
      <c r="C26" s="657"/>
      <c r="D26" s="1597" t="s">
        <v>565</v>
      </c>
      <c r="E26" s="1597"/>
      <c r="F26" s="1597"/>
      <c r="G26" s="1597"/>
      <c r="H26" s="1597"/>
      <c r="I26" s="1597"/>
      <c r="J26" s="1600" t="s">
        <v>566</v>
      </c>
      <c r="K26" s="1601"/>
    </row>
    <row r="27" spans="2:11" ht="15" customHeight="1" x14ac:dyDescent="0.2">
      <c r="B27" s="659"/>
      <c r="C27" s="657"/>
      <c r="D27" s="1597"/>
      <c r="E27" s="1597"/>
      <c r="F27" s="1597"/>
      <c r="G27" s="1597"/>
      <c r="H27" s="1597"/>
      <c r="I27" s="1597"/>
      <c r="J27" s="1602"/>
      <c r="K27" s="1603"/>
    </row>
    <row r="28" spans="2:11" ht="15" customHeight="1" x14ac:dyDescent="0.2">
      <c r="B28" s="660"/>
      <c r="C28" s="661"/>
      <c r="D28" s="661"/>
      <c r="E28" s="661"/>
      <c r="F28" s="661"/>
      <c r="G28" s="661"/>
      <c r="H28" s="661"/>
      <c r="I28" s="661"/>
      <c r="J28" s="662"/>
      <c r="K28" s="663"/>
    </row>
    <row r="29" spans="2:11" ht="15" customHeight="1" x14ac:dyDescent="0.2">
      <c r="B29" s="660"/>
      <c r="C29" s="661"/>
      <c r="D29" s="661"/>
      <c r="E29" s="661"/>
      <c r="F29" s="661"/>
      <c r="G29" s="661"/>
      <c r="H29" s="661"/>
      <c r="I29" s="664"/>
      <c r="J29" s="665"/>
      <c r="K29" s="666"/>
    </row>
    <row r="30" spans="2:11" ht="15" customHeight="1" x14ac:dyDescent="0.2">
      <c r="B30" s="659"/>
      <c r="C30" s="657"/>
      <c r="D30" s="657"/>
      <c r="E30" s="657"/>
      <c r="F30" s="657"/>
      <c r="G30" s="657"/>
      <c r="H30" s="657"/>
      <c r="I30" s="1607" t="s">
        <v>567</v>
      </c>
      <c r="J30" s="1607"/>
      <c r="K30" s="1608"/>
    </row>
    <row r="31" spans="2:11" ht="18" customHeight="1" x14ac:dyDescent="0.2">
      <c r="B31" s="1609" t="s">
        <v>463</v>
      </c>
      <c r="C31" s="1610"/>
      <c r="D31" s="1610"/>
      <c r="E31" s="1610"/>
      <c r="F31" s="1610"/>
      <c r="G31" s="1610"/>
      <c r="H31" s="1610"/>
      <c r="I31" s="1610"/>
      <c r="J31" s="1610"/>
      <c r="K31" s="1611"/>
    </row>
    <row r="32" spans="2:11" ht="15.75" customHeight="1" x14ac:dyDescent="0.2">
      <c r="B32" s="659"/>
      <c r="C32" s="1580" t="str">
        <f>CONCATENATE("       I  ", DATA!G17,UPPER(DATA!H17)," do hereby declare that what is stated above is true to the best of my knowledge and belief.  ")</f>
        <v xml:space="preserve">       I  Sri.  PERUMALLA RAMANJANEYULU do hereby declare that what is stated above is true to the best of my knowledge and belief.  </v>
      </c>
      <c r="D32" s="1580"/>
      <c r="E32" s="1580"/>
      <c r="F32" s="1580"/>
      <c r="G32" s="1580"/>
      <c r="H32" s="1580"/>
      <c r="I32" s="1580"/>
      <c r="J32" s="1580"/>
      <c r="K32" s="1581"/>
    </row>
    <row r="33" spans="2:11" ht="15" customHeight="1" x14ac:dyDescent="0.2">
      <c r="B33" s="659"/>
      <c r="C33" s="1580"/>
      <c r="D33" s="1580"/>
      <c r="E33" s="1580"/>
      <c r="F33" s="1580"/>
      <c r="G33" s="1580"/>
      <c r="H33" s="1580"/>
      <c r="I33" s="1580"/>
      <c r="J33" s="1580"/>
      <c r="K33" s="1581"/>
    </row>
    <row r="34" spans="2:11" ht="15" customHeight="1" x14ac:dyDescent="0.2">
      <c r="B34" s="659"/>
      <c r="C34" s="1580"/>
      <c r="D34" s="1580"/>
      <c r="E34" s="1580"/>
      <c r="F34" s="1580"/>
      <c r="G34" s="1580"/>
      <c r="H34" s="1580"/>
      <c r="I34" s="1580"/>
      <c r="J34" s="1580"/>
      <c r="K34" s="1581"/>
    </row>
    <row r="35" spans="2:11" ht="15" customHeight="1" x14ac:dyDescent="0.2">
      <c r="B35" s="659"/>
      <c r="C35" s="668"/>
      <c r="D35" s="668"/>
      <c r="E35" s="668"/>
      <c r="F35" s="668"/>
      <c r="G35" s="668"/>
      <c r="H35" s="668"/>
      <c r="I35" s="668"/>
      <c r="J35" s="668"/>
      <c r="K35" s="669"/>
    </row>
    <row r="36" spans="2:11" ht="15" customHeight="1" x14ac:dyDescent="0.2">
      <c r="B36" s="1612" t="s">
        <v>568</v>
      </c>
      <c r="C36" s="1613"/>
      <c r="D36" s="1613"/>
      <c r="E36" s="1613"/>
      <c r="F36" s="1613"/>
      <c r="G36" s="1614">
        <f ca="1">TODAY()</f>
        <v>45977</v>
      </c>
      <c r="H36" s="1614"/>
      <c r="I36" s="657"/>
      <c r="J36" s="657"/>
      <c r="K36" s="667"/>
    </row>
    <row r="37" spans="2:11" ht="15" customHeight="1" x14ac:dyDescent="0.2">
      <c r="B37" s="652"/>
      <c r="C37" s="654"/>
      <c r="D37" s="654"/>
      <c r="E37" s="654"/>
      <c r="F37" s="654"/>
      <c r="G37" s="671"/>
      <c r="H37" s="657"/>
      <c r="I37" s="657"/>
      <c r="J37" s="657"/>
      <c r="K37" s="667"/>
    </row>
    <row r="38" spans="2:11" ht="15" customHeight="1" x14ac:dyDescent="0.2">
      <c r="B38" s="659"/>
      <c r="C38" s="657"/>
      <c r="D38" s="657"/>
      <c r="E38" s="657"/>
      <c r="F38" s="657"/>
      <c r="G38" s="657"/>
      <c r="H38" s="657"/>
      <c r="I38" s="657"/>
      <c r="J38" s="657"/>
      <c r="K38" s="667"/>
    </row>
    <row r="39" spans="2:11" ht="15" customHeight="1" x14ac:dyDescent="0.2">
      <c r="B39" s="652"/>
      <c r="C39" s="654"/>
      <c r="D39" s="654"/>
      <c r="E39" s="654"/>
      <c r="F39" s="654"/>
      <c r="G39" s="654"/>
      <c r="H39" s="654"/>
      <c r="I39" s="657"/>
      <c r="J39" s="657"/>
      <c r="K39" s="667"/>
    </row>
    <row r="40" spans="2:11" ht="20.100000000000001" customHeight="1" x14ac:dyDescent="0.2">
      <c r="B40" s="1615" t="str">
        <f>UPPER(CONCATENATE("PLACE  :   ",DATA!H21," ; ",DATA!H22,"."))</f>
        <v>PLACE  :   Z.P.HIGH SCHOOL ; RAHIMANPURAM.</v>
      </c>
      <c r="C40" s="1616"/>
      <c r="D40" s="1616"/>
      <c r="E40" s="1616"/>
      <c r="F40" s="1616"/>
      <c r="G40" s="1616"/>
      <c r="H40" s="1616"/>
      <c r="I40" s="664"/>
      <c r="J40" s="665"/>
      <c r="K40" s="666"/>
    </row>
    <row r="41" spans="2:11" ht="20.100000000000001" customHeight="1" x14ac:dyDescent="0.2">
      <c r="B41" s="1617" t="str">
        <f ca="1">CONCATENATE("DATE    :  ",UPPER(TEXT(G36,"dd-mmmm-yyyy")))</f>
        <v>DATE    :  16-NOVEMBER-2025</v>
      </c>
      <c r="C41" s="1618"/>
      <c r="D41" s="1618"/>
      <c r="E41" s="1618"/>
      <c r="F41" s="1618"/>
      <c r="G41" s="1618"/>
      <c r="H41" s="1618"/>
      <c r="I41" s="1607" t="s">
        <v>567</v>
      </c>
      <c r="J41" s="1607"/>
      <c r="K41" s="1608"/>
    </row>
    <row r="42" spans="2:11" ht="15" customHeight="1" x14ac:dyDescent="0.2">
      <c r="B42" s="672"/>
      <c r="C42" s="658"/>
      <c r="D42" s="658"/>
      <c r="E42" s="658"/>
      <c r="F42" s="658"/>
      <c r="G42" s="673"/>
      <c r="H42" s="657"/>
      <c r="I42" s="670"/>
      <c r="J42" s="670"/>
      <c r="K42" s="674"/>
    </row>
    <row r="43" spans="2:11" ht="15" customHeight="1" x14ac:dyDescent="0.2">
      <c r="B43" s="672"/>
      <c r="C43" s="658"/>
      <c r="D43" s="658"/>
      <c r="E43" s="658"/>
      <c r="F43" s="658"/>
      <c r="G43" s="673"/>
      <c r="H43" s="657"/>
      <c r="I43" s="670"/>
      <c r="J43" s="670"/>
      <c r="K43" s="674"/>
    </row>
    <row r="44" spans="2:11" ht="15.75" customHeight="1" thickBot="1" x14ac:dyDescent="0.25">
      <c r="B44" s="675"/>
      <c r="C44" s="676"/>
      <c r="D44" s="676"/>
      <c r="E44" s="676"/>
      <c r="F44" s="676"/>
      <c r="G44" s="676"/>
      <c r="H44" s="676"/>
      <c r="I44" s="676"/>
      <c r="J44" s="676"/>
      <c r="K44" s="677"/>
    </row>
    <row r="45" spans="2:11" ht="15.75" thickTop="1" x14ac:dyDescent="0.2">
      <c r="B45" s="1619" t="s">
        <v>538</v>
      </c>
      <c r="C45" s="1619"/>
      <c r="D45" s="1619"/>
      <c r="E45" s="1619"/>
      <c r="F45" s="1619"/>
      <c r="G45" s="1619"/>
      <c r="H45" s="1619"/>
      <c r="I45" s="1619"/>
      <c r="J45" s="1619"/>
      <c r="K45" s="1619"/>
    </row>
    <row r="46" spans="2:11" ht="3.6" customHeight="1" thickBot="1" x14ac:dyDescent="0.25">
      <c r="B46" s="678"/>
      <c r="K46" s="679"/>
    </row>
    <row r="47" spans="2:11" ht="18.75" thickTop="1" x14ac:dyDescent="0.2">
      <c r="B47" s="1620" t="s">
        <v>566</v>
      </c>
      <c r="C47" s="1621"/>
      <c r="D47" s="1621"/>
      <c r="E47" s="1621"/>
      <c r="F47" s="1621"/>
      <c r="G47" s="1621"/>
      <c r="H47" s="1621"/>
      <c r="I47" s="1621"/>
      <c r="J47" s="1621"/>
      <c r="K47" s="1622"/>
    </row>
    <row r="48" spans="2:11" x14ac:dyDescent="0.2">
      <c r="B48" s="1623" t="s">
        <v>569</v>
      </c>
      <c r="C48" s="1624"/>
      <c r="D48" s="1624"/>
      <c r="E48" s="1624"/>
      <c r="F48" s="1624"/>
      <c r="G48" s="1624"/>
      <c r="H48" s="1624"/>
      <c r="I48" s="1624"/>
      <c r="J48" s="1624"/>
      <c r="K48" s="1625"/>
    </row>
    <row r="49" spans="2:11" x14ac:dyDescent="0.2">
      <c r="B49" s="1604" t="s">
        <v>570</v>
      </c>
      <c r="C49" s="1605"/>
      <c r="D49" s="1605"/>
      <c r="E49" s="1605"/>
      <c r="F49" s="1605"/>
      <c r="G49" s="1605"/>
      <c r="H49" s="1605"/>
      <c r="I49" s="1605"/>
      <c r="J49" s="1605"/>
      <c r="K49" s="1606"/>
    </row>
    <row r="50" spans="2:11" ht="26.1" customHeight="1" x14ac:dyDescent="0.25">
      <c r="B50" s="683">
        <v>1</v>
      </c>
      <c r="C50" s="684" t="s">
        <v>571</v>
      </c>
      <c r="D50" s="684"/>
      <c r="E50" s="684"/>
      <c r="F50" s="684"/>
      <c r="G50" s="684"/>
      <c r="H50" s="684"/>
      <c r="I50" s="684"/>
      <c r="J50" s="684"/>
      <c r="K50" s="685">
        <f>'10E DATA'!D21</f>
        <v>903410</v>
      </c>
    </row>
    <row r="51" spans="2:11" ht="26.1" customHeight="1" x14ac:dyDescent="0.25">
      <c r="B51" s="686">
        <v>2</v>
      </c>
      <c r="C51" s="687" t="s">
        <v>509</v>
      </c>
      <c r="D51" s="687"/>
      <c r="E51" s="687"/>
      <c r="F51" s="687"/>
      <c r="G51" s="687"/>
      <c r="H51" s="687"/>
      <c r="I51" s="687"/>
      <c r="J51" s="687"/>
      <c r="K51" s="688">
        <f>'10E DATA'!E21</f>
        <v>0</v>
      </c>
    </row>
    <row r="52" spans="2:11" ht="26.1" customHeight="1" x14ac:dyDescent="0.25">
      <c r="B52" s="686">
        <v>3</v>
      </c>
      <c r="C52" s="687" t="s">
        <v>572</v>
      </c>
      <c r="D52" s="687"/>
      <c r="E52" s="687"/>
      <c r="F52" s="687"/>
      <c r="G52" s="687"/>
      <c r="H52" s="687"/>
      <c r="I52" s="687"/>
      <c r="J52" s="687"/>
      <c r="K52" s="688">
        <f>'10E DATA'!F21</f>
        <v>903410</v>
      </c>
    </row>
    <row r="53" spans="2:11" ht="26.1" customHeight="1" x14ac:dyDescent="0.25">
      <c r="B53" s="686">
        <v>4</v>
      </c>
      <c r="C53" s="687" t="s">
        <v>573</v>
      </c>
      <c r="D53" s="687"/>
      <c r="E53" s="687"/>
      <c r="F53" s="687"/>
      <c r="G53" s="687"/>
      <c r="H53" s="687"/>
      <c r="I53" s="687"/>
      <c r="J53" s="689" t="str">
        <f>IF('10E DATA'!C21="NEW","NEW REGIME","OLD REGIME")</f>
        <v>NEW REGIME</v>
      </c>
      <c r="K53" s="688">
        <f>'10E DATA'!H21</f>
        <v>41954.64</v>
      </c>
    </row>
    <row r="54" spans="2:11" ht="26.1" customHeight="1" x14ac:dyDescent="0.25">
      <c r="B54" s="868">
        <v>5</v>
      </c>
      <c r="C54" s="961" t="s">
        <v>574</v>
      </c>
      <c r="D54" s="961"/>
      <c r="E54" s="961"/>
      <c r="F54" s="961"/>
      <c r="G54" s="961"/>
      <c r="H54" s="961"/>
      <c r="I54" s="961"/>
      <c r="J54" s="962" t="str">
        <f>IF('10E DATA'!C21="NEW","NEW REGIME","OLD REGIME")</f>
        <v>NEW REGIME</v>
      </c>
      <c r="K54" s="869">
        <f>'10E DATA'!G21</f>
        <v>41954.64</v>
      </c>
    </row>
    <row r="55" spans="2:11" ht="26.1" customHeight="1" x14ac:dyDescent="0.25">
      <c r="B55" s="686">
        <v>6</v>
      </c>
      <c r="C55" s="687" t="s">
        <v>575</v>
      </c>
      <c r="D55" s="687"/>
      <c r="E55" s="687"/>
      <c r="F55" s="687"/>
      <c r="G55" s="687"/>
      <c r="H55" s="687"/>
      <c r="I55" s="687"/>
      <c r="J55" s="687"/>
      <c r="K55" s="690">
        <f>'10E DATA'!I21</f>
        <v>0</v>
      </c>
    </row>
    <row r="56" spans="2:11" ht="26.1" customHeight="1" x14ac:dyDescent="0.25">
      <c r="B56" s="686">
        <v>7</v>
      </c>
      <c r="C56" s="687" t="s">
        <v>576</v>
      </c>
      <c r="D56" s="687"/>
      <c r="E56" s="687"/>
      <c r="F56" s="687"/>
      <c r="G56" s="687"/>
      <c r="H56" s="687"/>
      <c r="I56" s="687"/>
      <c r="J56" s="687"/>
      <c r="K56" s="690">
        <f>'10E DATA'!I23</f>
        <v>0</v>
      </c>
    </row>
    <row r="57" spans="2:11" ht="26.1" customHeight="1" x14ac:dyDescent="0.25">
      <c r="B57" s="691">
        <v>8</v>
      </c>
      <c r="C57" s="692" t="s">
        <v>577</v>
      </c>
      <c r="D57" s="692"/>
      <c r="E57" s="692"/>
      <c r="F57" s="692"/>
      <c r="G57" s="692"/>
      <c r="H57" s="692"/>
      <c r="I57" s="692"/>
      <c r="J57" s="693"/>
      <c r="K57" s="694">
        <f>'10E PRINT'!K55-'10E PRINT'!K56</f>
        <v>0</v>
      </c>
    </row>
    <row r="58" spans="2:11" ht="21" x14ac:dyDescent="0.2">
      <c r="B58" s="1626" t="s">
        <v>578</v>
      </c>
      <c r="C58" s="1627"/>
      <c r="D58" s="1627"/>
      <c r="E58" s="1627"/>
      <c r="F58" s="1627"/>
      <c r="G58" s="1627"/>
      <c r="H58" s="1627"/>
      <c r="I58" s="1627"/>
      <c r="J58" s="1627"/>
      <c r="K58" s="1628"/>
    </row>
    <row r="59" spans="2:11" x14ac:dyDescent="0.2">
      <c r="B59" s="1629" t="s">
        <v>579</v>
      </c>
      <c r="C59" s="1630"/>
      <c r="D59" s="1630"/>
      <c r="E59" s="1630"/>
      <c r="F59" s="1630"/>
      <c r="G59" s="1630"/>
      <c r="H59" s="1630"/>
      <c r="I59" s="1630"/>
      <c r="J59" s="1630"/>
      <c r="K59" s="1631"/>
    </row>
    <row r="60" spans="2:11" s="665" customFormat="1" ht="20.100000000000001" customHeight="1" x14ac:dyDescent="0.2">
      <c r="B60" s="1632" t="s">
        <v>580</v>
      </c>
      <c r="C60" s="1633"/>
      <c r="D60" s="1634"/>
      <c r="E60" s="1635" t="s">
        <v>581</v>
      </c>
      <c r="F60" s="1633" t="s">
        <v>582</v>
      </c>
      <c r="G60" s="1638" t="s">
        <v>583</v>
      </c>
      <c r="H60" s="1639" t="s">
        <v>584</v>
      </c>
      <c r="I60" s="1639" t="s">
        <v>585</v>
      </c>
      <c r="J60" s="1639" t="s">
        <v>586</v>
      </c>
      <c r="K60" s="1640" t="s">
        <v>587</v>
      </c>
    </row>
    <row r="61" spans="2:11" s="665" customFormat="1" ht="20.100000000000001" customHeight="1" x14ac:dyDescent="0.2">
      <c r="B61" s="1632"/>
      <c r="C61" s="1633"/>
      <c r="D61" s="1634"/>
      <c r="E61" s="1636"/>
      <c r="F61" s="1633"/>
      <c r="G61" s="1638"/>
      <c r="H61" s="1639"/>
      <c r="I61" s="1639"/>
      <c r="J61" s="1639"/>
      <c r="K61" s="1640"/>
    </row>
    <row r="62" spans="2:11" s="665" customFormat="1" ht="20.100000000000001" customHeight="1" x14ac:dyDescent="0.2">
      <c r="B62" s="1632"/>
      <c r="C62" s="1633"/>
      <c r="D62" s="1634"/>
      <c r="E62" s="1636"/>
      <c r="F62" s="1633"/>
      <c r="G62" s="1638"/>
      <c r="H62" s="1639"/>
      <c r="I62" s="1639"/>
      <c r="J62" s="1639"/>
      <c r="K62" s="1640"/>
    </row>
    <row r="63" spans="2:11" s="665" customFormat="1" ht="20.100000000000001" customHeight="1" x14ac:dyDescent="0.2">
      <c r="B63" s="1632"/>
      <c r="C63" s="1633"/>
      <c r="D63" s="1634"/>
      <c r="E63" s="1636"/>
      <c r="F63" s="1633"/>
      <c r="G63" s="1638"/>
      <c r="H63" s="1639"/>
      <c r="I63" s="1639"/>
      <c r="J63" s="1639"/>
      <c r="K63" s="1640"/>
    </row>
    <row r="64" spans="2:11" s="665" customFormat="1" ht="20.100000000000001" customHeight="1" x14ac:dyDescent="0.2">
      <c r="B64" s="1632"/>
      <c r="C64" s="1633"/>
      <c r="D64" s="1634"/>
      <c r="E64" s="1636"/>
      <c r="F64" s="1633"/>
      <c r="G64" s="1638"/>
      <c r="H64" s="1639"/>
      <c r="I64" s="1639"/>
      <c r="J64" s="1639"/>
      <c r="K64" s="1640"/>
    </row>
    <row r="65" spans="2:11" s="665" customFormat="1" ht="20.100000000000001" customHeight="1" x14ac:dyDescent="0.2">
      <c r="B65" s="1632"/>
      <c r="C65" s="1633"/>
      <c r="D65" s="1634"/>
      <c r="E65" s="1637"/>
      <c r="F65" s="1633"/>
      <c r="G65" s="1638"/>
      <c r="H65" s="1639"/>
      <c r="I65" s="1639"/>
      <c r="J65" s="1639"/>
      <c r="K65" s="1640"/>
    </row>
    <row r="66" spans="2:11" ht="17.45" customHeight="1" x14ac:dyDescent="0.2">
      <c r="B66" s="1644">
        <v>1</v>
      </c>
      <c r="C66" s="1645"/>
      <c r="D66" s="1646"/>
      <c r="E66" s="695"/>
      <c r="F66" s="696">
        <v>2</v>
      </c>
      <c r="G66" s="695">
        <v>3</v>
      </c>
      <c r="H66" s="695">
        <v>4</v>
      </c>
      <c r="I66" s="695">
        <v>5</v>
      </c>
      <c r="J66" s="695">
        <v>6</v>
      </c>
      <c r="K66" s="697">
        <v>7</v>
      </c>
    </row>
    <row r="67" spans="2:11" ht="17.45" customHeight="1" x14ac:dyDescent="0.2">
      <c r="B67" s="1641" t="str">
        <f>'10E DATA'!B7</f>
        <v>2010-2011</v>
      </c>
      <c r="C67" s="1642"/>
      <c r="D67" s="1643"/>
      <c r="E67" s="698" t="str">
        <f>'10E DATA'!C7</f>
        <v>OLD</v>
      </c>
      <c r="F67" s="699">
        <f>'10E DATA'!D7</f>
        <v>0</v>
      </c>
      <c r="G67" s="699">
        <f>'10E DATA'!E7</f>
        <v>0</v>
      </c>
      <c r="H67" s="700">
        <f>'10E DATA'!F7</f>
        <v>0</v>
      </c>
      <c r="I67" s="699">
        <f>'10E DATA'!G7</f>
        <v>0</v>
      </c>
      <c r="J67" s="699">
        <f>'10E DATA'!H7</f>
        <v>0</v>
      </c>
      <c r="K67" s="701">
        <f>'10E DATA'!I7</f>
        <v>0</v>
      </c>
    </row>
    <row r="68" spans="2:11" ht="17.45" customHeight="1" x14ac:dyDescent="0.2">
      <c r="B68" s="1641" t="str">
        <f>'10E DATA'!B8</f>
        <v>2011-2012</v>
      </c>
      <c r="C68" s="1642"/>
      <c r="D68" s="1643"/>
      <c r="E68" s="698" t="str">
        <f>'10E DATA'!C8</f>
        <v>OLD</v>
      </c>
      <c r="F68" s="699">
        <f>'10E DATA'!D8</f>
        <v>0</v>
      </c>
      <c r="G68" s="700">
        <f>'10E DATA'!E8</f>
        <v>0</v>
      </c>
      <c r="H68" s="700">
        <f>'10E DATA'!F8</f>
        <v>0</v>
      </c>
      <c r="I68" s="700">
        <f>'10E DATA'!G8</f>
        <v>0</v>
      </c>
      <c r="J68" s="700">
        <f>'10E DATA'!H8</f>
        <v>0</v>
      </c>
      <c r="K68" s="701">
        <f>'10E DATA'!I8</f>
        <v>0</v>
      </c>
    </row>
    <row r="69" spans="2:11" ht="17.45" customHeight="1" x14ac:dyDescent="0.2">
      <c r="B69" s="1641" t="str">
        <f>'10E DATA'!B9</f>
        <v>2012-2013</v>
      </c>
      <c r="C69" s="1642"/>
      <c r="D69" s="1643"/>
      <c r="E69" s="698" t="str">
        <f>'10E DATA'!C9</f>
        <v>OLD</v>
      </c>
      <c r="F69" s="699">
        <f>'10E DATA'!D9</f>
        <v>0</v>
      </c>
      <c r="G69" s="700">
        <f>'10E DATA'!E9</f>
        <v>0</v>
      </c>
      <c r="H69" s="700">
        <f>'10E DATA'!F9</f>
        <v>0</v>
      </c>
      <c r="I69" s="700">
        <f>'10E DATA'!G9</f>
        <v>0</v>
      </c>
      <c r="J69" s="700">
        <f>'10E DATA'!H9</f>
        <v>0</v>
      </c>
      <c r="K69" s="701">
        <f>'10E DATA'!I9</f>
        <v>0</v>
      </c>
    </row>
    <row r="70" spans="2:11" ht="17.45" customHeight="1" x14ac:dyDescent="0.2">
      <c r="B70" s="1641" t="str">
        <f>'10E DATA'!B10</f>
        <v>2013-2014</v>
      </c>
      <c r="C70" s="1642"/>
      <c r="D70" s="1643"/>
      <c r="E70" s="698" t="str">
        <f>'10E DATA'!C10</f>
        <v>OLD</v>
      </c>
      <c r="F70" s="699">
        <f>'10E DATA'!D10</f>
        <v>0</v>
      </c>
      <c r="G70" s="700">
        <f>'10E DATA'!E10</f>
        <v>0</v>
      </c>
      <c r="H70" s="700">
        <f>'10E DATA'!F10</f>
        <v>0</v>
      </c>
      <c r="I70" s="700">
        <f>'10E DATA'!G10</f>
        <v>0</v>
      </c>
      <c r="J70" s="700">
        <f>'10E DATA'!H10</f>
        <v>0</v>
      </c>
      <c r="K70" s="701">
        <f>'10E DATA'!I10</f>
        <v>0</v>
      </c>
    </row>
    <row r="71" spans="2:11" ht="17.45" customHeight="1" x14ac:dyDescent="0.2">
      <c r="B71" s="1641" t="str">
        <f>'10E DATA'!B11</f>
        <v>2014-2015</v>
      </c>
      <c r="C71" s="1642"/>
      <c r="D71" s="1643"/>
      <c r="E71" s="698" t="str">
        <f>'10E DATA'!C11</f>
        <v>OLD</v>
      </c>
      <c r="F71" s="699">
        <f>'10E DATA'!D11</f>
        <v>0</v>
      </c>
      <c r="G71" s="700">
        <f>'10E DATA'!E11</f>
        <v>0</v>
      </c>
      <c r="H71" s="700">
        <f>'10E DATA'!F11</f>
        <v>0</v>
      </c>
      <c r="I71" s="700">
        <f>'10E DATA'!G11</f>
        <v>0</v>
      </c>
      <c r="J71" s="700">
        <f>'10E DATA'!H11</f>
        <v>0</v>
      </c>
      <c r="K71" s="701">
        <f>'10E DATA'!I11</f>
        <v>0</v>
      </c>
    </row>
    <row r="72" spans="2:11" ht="17.45" customHeight="1" x14ac:dyDescent="0.2">
      <c r="B72" s="1641" t="str">
        <f>'10E DATA'!B12</f>
        <v>2015-2016</v>
      </c>
      <c r="C72" s="1642"/>
      <c r="D72" s="1643"/>
      <c r="E72" s="698" t="str">
        <f>'10E DATA'!C12</f>
        <v>OLD</v>
      </c>
      <c r="F72" s="699">
        <f>'10E DATA'!D12</f>
        <v>0</v>
      </c>
      <c r="G72" s="700">
        <f>'10E DATA'!E12</f>
        <v>0</v>
      </c>
      <c r="H72" s="700">
        <f>'10E DATA'!F12</f>
        <v>0</v>
      </c>
      <c r="I72" s="700">
        <f>'10E DATA'!G12</f>
        <v>0</v>
      </c>
      <c r="J72" s="700">
        <f>'10E DATA'!H12</f>
        <v>0</v>
      </c>
      <c r="K72" s="701">
        <f>'10E DATA'!I12</f>
        <v>0</v>
      </c>
    </row>
    <row r="73" spans="2:11" ht="17.45" customHeight="1" x14ac:dyDescent="0.2">
      <c r="B73" s="1641" t="str">
        <f>'10E DATA'!B13</f>
        <v>2016-2017</v>
      </c>
      <c r="C73" s="1642"/>
      <c r="D73" s="1643"/>
      <c r="E73" s="698" t="str">
        <f>'10E DATA'!C13</f>
        <v>OLD</v>
      </c>
      <c r="F73" s="699">
        <f>'10E DATA'!D13</f>
        <v>0</v>
      </c>
      <c r="G73" s="700">
        <f>'10E DATA'!E13</f>
        <v>0</v>
      </c>
      <c r="H73" s="700">
        <f>'10E DATA'!F13</f>
        <v>0</v>
      </c>
      <c r="I73" s="700">
        <f>'10E DATA'!G13</f>
        <v>0</v>
      </c>
      <c r="J73" s="700">
        <f>'10E DATA'!H13</f>
        <v>0</v>
      </c>
      <c r="K73" s="701">
        <f>'10E DATA'!I13</f>
        <v>0</v>
      </c>
    </row>
    <row r="74" spans="2:11" ht="17.45" customHeight="1" x14ac:dyDescent="0.2">
      <c r="B74" s="1641" t="str">
        <f>'10E DATA'!B14</f>
        <v>2017-2018</v>
      </c>
      <c r="C74" s="1642"/>
      <c r="D74" s="1643"/>
      <c r="E74" s="698" t="str">
        <f>'10E DATA'!C14</f>
        <v>OLD</v>
      </c>
      <c r="F74" s="699">
        <f>'10E DATA'!D14</f>
        <v>0</v>
      </c>
      <c r="G74" s="700">
        <f>'10E DATA'!E14</f>
        <v>0</v>
      </c>
      <c r="H74" s="700">
        <f>'10E DATA'!F14</f>
        <v>0</v>
      </c>
      <c r="I74" s="700">
        <f>'10E DATA'!G14</f>
        <v>0</v>
      </c>
      <c r="J74" s="700">
        <f>'10E DATA'!H14</f>
        <v>0</v>
      </c>
      <c r="K74" s="701">
        <f>'10E DATA'!I14</f>
        <v>0</v>
      </c>
    </row>
    <row r="75" spans="2:11" ht="17.45" customHeight="1" x14ac:dyDescent="0.2">
      <c r="B75" s="1641" t="str">
        <f>'10E DATA'!B15</f>
        <v>2018-2019</v>
      </c>
      <c r="C75" s="1642"/>
      <c r="D75" s="1643"/>
      <c r="E75" s="698" t="str">
        <f>'10E DATA'!C15</f>
        <v>OLD</v>
      </c>
      <c r="F75" s="699">
        <f>'10E DATA'!D15</f>
        <v>0</v>
      </c>
      <c r="G75" s="700">
        <f>'10E DATA'!E15</f>
        <v>0</v>
      </c>
      <c r="H75" s="700">
        <f>'10E DATA'!F15</f>
        <v>0</v>
      </c>
      <c r="I75" s="700">
        <f>'10E DATA'!G15</f>
        <v>0</v>
      </c>
      <c r="J75" s="700">
        <f>'10E DATA'!H15</f>
        <v>0</v>
      </c>
      <c r="K75" s="701">
        <f>'10E DATA'!I15</f>
        <v>0</v>
      </c>
    </row>
    <row r="76" spans="2:11" ht="17.45" customHeight="1" x14ac:dyDescent="0.2">
      <c r="B76" s="1641" t="str">
        <f>'10E DATA'!B16</f>
        <v>2019-2020</v>
      </c>
      <c r="C76" s="1642"/>
      <c r="D76" s="1643"/>
      <c r="E76" s="698" t="str">
        <f>'10E DATA'!C16</f>
        <v>OLD</v>
      </c>
      <c r="F76" s="699">
        <f>'10E DATA'!D16</f>
        <v>0</v>
      </c>
      <c r="G76" s="700">
        <f>'10E DATA'!E16</f>
        <v>0</v>
      </c>
      <c r="H76" s="700">
        <f>'10E DATA'!F16</f>
        <v>0</v>
      </c>
      <c r="I76" s="700">
        <f>'10E DATA'!G16</f>
        <v>0</v>
      </c>
      <c r="J76" s="700">
        <f>'10E DATA'!H16</f>
        <v>0</v>
      </c>
      <c r="K76" s="701">
        <f>'10E DATA'!I16</f>
        <v>0</v>
      </c>
    </row>
    <row r="77" spans="2:11" ht="17.45" customHeight="1" x14ac:dyDescent="0.2">
      <c r="B77" s="1641" t="str">
        <f>'10E DATA'!B17</f>
        <v>2020-2021</v>
      </c>
      <c r="C77" s="1642"/>
      <c r="D77" s="1643"/>
      <c r="E77" s="698" t="str">
        <f>'10E DATA'!C17</f>
        <v>OLD</v>
      </c>
      <c r="F77" s="699">
        <f>'10E DATA'!D17</f>
        <v>0</v>
      </c>
      <c r="G77" s="700">
        <f>'10E DATA'!E17</f>
        <v>0</v>
      </c>
      <c r="H77" s="700">
        <f>'10E DATA'!F17</f>
        <v>0</v>
      </c>
      <c r="I77" s="700">
        <f>'10E DATA'!G17</f>
        <v>0</v>
      </c>
      <c r="J77" s="700">
        <f>'10E DATA'!H17</f>
        <v>0</v>
      </c>
      <c r="K77" s="701">
        <f>'10E DATA'!I17</f>
        <v>0</v>
      </c>
    </row>
    <row r="78" spans="2:11" ht="17.45" customHeight="1" x14ac:dyDescent="0.2">
      <c r="B78" s="1641" t="str">
        <f>'10E DATA'!B18</f>
        <v>2021-2022</v>
      </c>
      <c r="C78" s="1642"/>
      <c r="D78" s="1643"/>
      <c r="E78" s="698" t="str">
        <f>'10E DATA'!C18</f>
        <v>OLD</v>
      </c>
      <c r="F78" s="699">
        <f>'10E DATA'!D18</f>
        <v>0</v>
      </c>
      <c r="G78" s="700">
        <f>'10E DATA'!E18</f>
        <v>0</v>
      </c>
      <c r="H78" s="700">
        <f>'10E DATA'!F18</f>
        <v>0</v>
      </c>
      <c r="I78" s="700">
        <f>'10E DATA'!G18</f>
        <v>0</v>
      </c>
      <c r="J78" s="700">
        <f>'10E DATA'!H18</f>
        <v>0</v>
      </c>
      <c r="K78" s="701">
        <f>'10E DATA'!I18</f>
        <v>0</v>
      </c>
    </row>
    <row r="79" spans="2:11" ht="17.45" customHeight="1" x14ac:dyDescent="0.2">
      <c r="B79" s="1641" t="str">
        <f>'10E DATA'!B19</f>
        <v>2022-2023</v>
      </c>
      <c r="C79" s="1642"/>
      <c r="D79" s="1643"/>
      <c r="E79" s="698" t="str">
        <f>'10E DATA'!C19</f>
        <v>OLD</v>
      </c>
      <c r="F79" s="699">
        <f>'10E DATA'!D19</f>
        <v>0</v>
      </c>
      <c r="G79" s="700">
        <f>'10E DATA'!E19</f>
        <v>0</v>
      </c>
      <c r="H79" s="700">
        <f>'10E DATA'!F19</f>
        <v>0</v>
      </c>
      <c r="I79" s="700">
        <f>'10E DATA'!G19</f>
        <v>0</v>
      </c>
      <c r="J79" s="700">
        <f>'10E DATA'!H19</f>
        <v>0</v>
      </c>
      <c r="K79" s="701">
        <f>'10E DATA'!I19</f>
        <v>0</v>
      </c>
    </row>
    <row r="80" spans="2:11" ht="17.45" customHeight="1" x14ac:dyDescent="0.2">
      <c r="B80" s="1641" t="str">
        <f>'10E DATA'!B20</f>
        <v>2023-2024</v>
      </c>
      <c r="C80" s="1642"/>
      <c r="D80" s="1643"/>
      <c r="E80" s="698" t="str">
        <f>'10E DATA'!C20</f>
        <v>OLD</v>
      </c>
      <c r="F80" s="699">
        <f>'10E DATA'!D20</f>
        <v>0</v>
      </c>
      <c r="G80" s="700">
        <f>'10E DATA'!E20</f>
        <v>0</v>
      </c>
      <c r="H80" s="700">
        <f>'10E DATA'!F20</f>
        <v>0</v>
      </c>
      <c r="I80" s="700">
        <f>'10E DATA'!G20</f>
        <v>0</v>
      </c>
      <c r="J80" s="700">
        <f>'10E DATA'!H20</f>
        <v>0</v>
      </c>
      <c r="K80" s="701">
        <f>'10E DATA'!I20</f>
        <v>0</v>
      </c>
    </row>
    <row r="81" spans="2:11" ht="9.9499999999999993" customHeight="1" x14ac:dyDescent="0.2">
      <c r="B81" s="1649"/>
      <c r="C81" s="1650"/>
      <c r="D81" s="1650"/>
      <c r="E81" s="702"/>
      <c r="F81" s="703"/>
      <c r="G81" s="703"/>
      <c r="H81" s="703"/>
      <c r="I81" s="703"/>
      <c r="J81" s="703"/>
      <c r="K81" s="704"/>
    </row>
    <row r="82" spans="2:11" ht="17.45" customHeight="1" x14ac:dyDescent="0.2">
      <c r="B82" s="1651" t="s">
        <v>47</v>
      </c>
      <c r="C82" s="1652"/>
      <c r="D82" s="1653"/>
      <c r="E82" s="705"/>
      <c r="F82" s="706">
        <f t="shared" ref="F82:K82" si="0">SUM(F67:F80)</f>
        <v>0</v>
      </c>
      <c r="G82" s="707">
        <f t="shared" si="0"/>
        <v>0</v>
      </c>
      <c r="H82" s="707">
        <f t="shared" si="0"/>
        <v>0</v>
      </c>
      <c r="I82" s="707">
        <f t="shared" si="0"/>
        <v>0</v>
      </c>
      <c r="J82" s="707">
        <f t="shared" si="0"/>
        <v>0</v>
      </c>
      <c r="K82" s="708">
        <f t="shared" si="0"/>
        <v>0</v>
      </c>
    </row>
    <row r="83" spans="2:11" ht="20.100000000000001" customHeight="1" x14ac:dyDescent="0.2">
      <c r="B83" s="680"/>
      <c r="C83" s="681"/>
      <c r="D83" s="681"/>
      <c r="E83" s="681"/>
      <c r="F83" s="681"/>
      <c r="G83" s="681"/>
      <c r="H83" s="681"/>
      <c r="I83" s="681"/>
      <c r="J83" s="681"/>
      <c r="K83" s="682"/>
    </row>
    <row r="84" spans="2:11" ht="20.100000000000001" customHeight="1" x14ac:dyDescent="0.2">
      <c r="B84" s="1654" t="str">
        <f>IF(B40="","",B40)</f>
        <v>PLACE  :   Z.P.HIGH SCHOOL ; RAHIMANPURAM.</v>
      </c>
      <c r="C84" s="1655"/>
      <c r="D84" s="1655"/>
      <c r="E84" s="1655"/>
      <c r="F84" s="1655"/>
      <c r="G84" s="1655"/>
      <c r="H84" s="1655"/>
      <c r="I84" s="664"/>
      <c r="J84" s="665"/>
      <c r="K84" s="666"/>
    </row>
    <row r="85" spans="2:11" ht="20.100000000000001" customHeight="1" x14ac:dyDescent="0.2">
      <c r="B85" s="1647" t="str">
        <f ca="1">B41</f>
        <v>DATE    :  16-NOVEMBER-2025</v>
      </c>
      <c r="C85" s="1648"/>
      <c r="D85" s="1648"/>
      <c r="E85" s="1648"/>
      <c r="F85" s="1648"/>
      <c r="G85" s="1648"/>
      <c r="H85" s="1648"/>
      <c r="I85" s="1607" t="s">
        <v>567</v>
      </c>
      <c r="J85" s="1607"/>
      <c r="K85" s="1608"/>
    </row>
    <row r="86" spans="2:11" x14ac:dyDescent="0.2">
      <c r="B86" s="709"/>
      <c r="C86" s="671"/>
      <c r="D86" s="671"/>
      <c r="E86" s="671"/>
      <c r="F86" s="671"/>
      <c r="G86" s="671"/>
      <c r="H86" s="671"/>
      <c r="I86" s="671"/>
      <c r="J86" s="671"/>
      <c r="K86" s="710"/>
    </row>
    <row r="87" spans="2:11" ht="15.75" thickBot="1" x14ac:dyDescent="0.25">
      <c r="B87" s="711"/>
      <c r="C87" s="712"/>
      <c r="D87" s="712"/>
      <c r="E87" s="712"/>
      <c r="F87" s="712"/>
      <c r="G87" s="712"/>
      <c r="H87" s="712"/>
      <c r="I87" s="712"/>
      <c r="J87" s="712"/>
      <c r="K87" s="713"/>
    </row>
    <row r="88" spans="2:11" ht="15.75" thickTop="1" x14ac:dyDescent="0.2">
      <c r="B88" s="1619" t="str">
        <f>B45</f>
        <v>Prepared by :   Ramanjaneyulu PERUMAL (S.G.Teacher) Bethamcherla Mandal (99 63 53 53 04)</v>
      </c>
      <c r="C88" s="1619"/>
      <c r="D88" s="1619"/>
      <c r="E88" s="1619"/>
      <c r="F88" s="1619"/>
      <c r="G88" s="1619"/>
      <c r="H88" s="1619"/>
      <c r="I88" s="1619"/>
      <c r="J88" s="1619"/>
      <c r="K88" s="1619"/>
    </row>
  </sheetData>
  <sheetProtection algorithmName="SHA-512" hashValue="TUckDsKnJ3LQBJLMK2tKFIMXLy3gimBILSR8qcwMzZ0fI9UoMWaWhHXlwvwIYEU6NNim4GALUZkK+kL/GY+2+Q==" saltValue="zWE31fWjzDgJPllOv+qUJg==" spinCount="100000" sheet="1" objects="1" scenarios="1" selectLockedCells="1" selectUnlockedCells="1"/>
  <mergeCells count="71">
    <mergeCell ref="B85:H85"/>
    <mergeCell ref="I85:K85"/>
    <mergeCell ref="B88:K88"/>
    <mergeCell ref="B78:D78"/>
    <mergeCell ref="B79:D79"/>
    <mergeCell ref="B80:D80"/>
    <mergeCell ref="B81:D81"/>
    <mergeCell ref="B82:D82"/>
    <mergeCell ref="B84:H84"/>
    <mergeCell ref="B77:D77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8:K58"/>
    <mergeCell ref="B59:K59"/>
    <mergeCell ref="B60:D65"/>
    <mergeCell ref="E60:E65"/>
    <mergeCell ref="F60:F65"/>
    <mergeCell ref="G60:G65"/>
    <mergeCell ref="H60:H65"/>
    <mergeCell ref="I60:I65"/>
    <mergeCell ref="J60:J65"/>
    <mergeCell ref="K60:K65"/>
    <mergeCell ref="B49:K49"/>
    <mergeCell ref="I30:K30"/>
    <mergeCell ref="B31:K31"/>
    <mergeCell ref="B36:F36"/>
    <mergeCell ref="G36:H36"/>
    <mergeCell ref="B40:H40"/>
    <mergeCell ref="B41:H41"/>
    <mergeCell ref="I41:K41"/>
    <mergeCell ref="B45:K45"/>
    <mergeCell ref="B47:K47"/>
    <mergeCell ref="B48:K48"/>
    <mergeCell ref="J26:K26"/>
    <mergeCell ref="J27:K27"/>
    <mergeCell ref="D17:I21"/>
    <mergeCell ref="J17:K17"/>
    <mergeCell ref="J18:K18"/>
    <mergeCell ref="J19:K19"/>
    <mergeCell ref="J20:K20"/>
    <mergeCell ref="J21:K21"/>
    <mergeCell ref="J22:K22"/>
    <mergeCell ref="D23:I24"/>
    <mergeCell ref="J23:K23"/>
    <mergeCell ref="J24:K24"/>
    <mergeCell ref="J25:K25"/>
    <mergeCell ref="H8:K8"/>
    <mergeCell ref="C32:K34"/>
    <mergeCell ref="B2:K3"/>
    <mergeCell ref="B4:K4"/>
    <mergeCell ref="H5:K5"/>
    <mergeCell ref="H6:K6"/>
    <mergeCell ref="H7:K7"/>
    <mergeCell ref="C9:K11"/>
    <mergeCell ref="D12:I13"/>
    <mergeCell ref="J12:K12"/>
    <mergeCell ref="J13:K13"/>
    <mergeCell ref="D14:I16"/>
    <mergeCell ref="J14:K14"/>
    <mergeCell ref="J15:K15"/>
    <mergeCell ref="J16:K16"/>
    <mergeCell ref="D26:I27"/>
  </mergeCells>
  <conditionalFormatting sqref="E67:E80">
    <cfRule type="containsText" dxfId="10" priority="1" operator="containsText" text="NEW">
      <formula>NOT(ISERROR(SEARCH("NEW",E67)))</formula>
    </cfRule>
  </conditionalFormatting>
  <printOptions horizontalCentered="1"/>
  <pageMargins left="7.874015748031496E-2" right="7.874015748031496E-2" top="0.19685039370078741" bottom="0.19685039370078741" header="0.19685039370078741" footer="0.19685039370078741"/>
  <pageSetup paperSize="9" orientation="portrait" r:id="rId1"/>
  <rowBreaks count="2" manualBreakCount="2">
    <brk id="45" max="16383" man="1"/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CA200"/>
  <sheetViews>
    <sheetView showGridLines="0" topLeftCell="XDZ1" workbookViewId="0">
      <pane ySplit="2" topLeftCell="XDZ1048542" activePane="bottomLeft" state="frozen"/>
      <selection activeCell="K1" sqref="K1"/>
      <selection pane="bottomLeft" activeCell="XFD1048576" sqref="XFD1048576"/>
    </sheetView>
  </sheetViews>
  <sheetFormatPr defaultColWidth="9.14453125" defaultRowHeight="15.95" customHeight="1" x14ac:dyDescent="0.25"/>
  <cols>
    <col min="1" max="1" width="3.2265625" style="1" customWidth="1"/>
    <col min="2" max="2" width="9.28125" style="1" hidden="1" customWidth="1"/>
    <col min="3" max="3" width="9.28125" style="16" hidden="1" customWidth="1"/>
    <col min="4" max="5" width="9.28125" style="1" hidden="1" customWidth="1"/>
    <col min="6" max="6" width="1.4765625" style="1" hidden="1" customWidth="1"/>
    <col min="7" max="7" width="10.22265625" style="1" hidden="1" customWidth="1"/>
    <col min="8" max="8" width="12.5078125" style="1" hidden="1" customWidth="1"/>
    <col min="9" max="9" width="1.4765625" style="1" hidden="1" customWidth="1"/>
    <col min="10" max="10" width="10.22265625" style="12" hidden="1" customWidth="1"/>
    <col min="11" max="11" width="9.28125" style="12" hidden="1" customWidth="1"/>
    <col min="12" max="12" width="1.4765625" style="1" hidden="1" customWidth="1"/>
    <col min="13" max="13" width="10.22265625" style="1" hidden="1" customWidth="1"/>
    <col min="14" max="14" width="5.6484375" style="1" hidden="1" customWidth="1"/>
    <col min="15" max="15" width="8.7421875" style="1" hidden="1" customWidth="1"/>
    <col min="16" max="16" width="5.6484375" style="1" hidden="1" customWidth="1"/>
    <col min="17" max="18" width="8.7421875" style="1" hidden="1" customWidth="1"/>
    <col min="19" max="19" width="1.4765625" style="1" hidden="1" customWidth="1"/>
    <col min="20" max="23" width="10.22265625" style="12" hidden="1" customWidth="1"/>
    <col min="24" max="24" width="9.28125" style="12" hidden="1" customWidth="1"/>
    <col min="25" max="25" width="6.72265625" style="3" hidden="1" customWidth="1"/>
    <col min="26" max="26" width="8.7421875" style="3" hidden="1" customWidth="1"/>
    <col min="27" max="27" width="1.4765625" style="1" hidden="1" customWidth="1"/>
    <col min="28" max="28" width="10.22265625" style="1" hidden="1" customWidth="1"/>
    <col min="29" max="31" width="9.68359375" style="1" hidden="1" customWidth="1"/>
    <col min="32" max="32" width="1.4765625" style="1" hidden="1" customWidth="1"/>
    <col min="33" max="34" width="9.68359375" style="1" hidden="1" customWidth="1"/>
    <col min="35" max="35" width="10.89453125" style="1" hidden="1" customWidth="1"/>
    <col min="36" max="36" width="1.4765625" style="1" hidden="1" customWidth="1"/>
    <col min="37" max="37" width="4.70703125" style="1" hidden="1" customWidth="1"/>
    <col min="38" max="38" width="2.28515625" style="65" hidden="1" customWidth="1"/>
    <col min="39" max="39" width="57.03515625" style="73" hidden="1" customWidth="1"/>
    <col min="40" max="40" width="1.4765625" style="1" hidden="1" customWidth="1"/>
    <col min="41" max="41" width="41.56640625" style="1" hidden="1" customWidth="1"/>
    <col min="42" max="42" width="11.703125" style="1" hidden="1" customWidth="1"/>
    <col min="43" max="43" width="2.28515625" style="65" hidden="1" customWidth="1"/>
    <col min="44" max="48" width="10.76171875" style="1" hidden="1" customWidth="1"/>
    <col min="49" max="49" width="1.4765625" style="1" hidden="1" customWidth="1"/>
    <col min="50" max="50" width="3.359375" style="1" hidden="1" customWidth="1"/>
    <col min="51" max="51" width="18.6953125" style="362" hidden="1" customWidth="1"/>
    <col min="52" max="52" width="5.6484375" style="362" hidden="1" customWidth="1"/>
    <col min="53" max="55" width="11.703125" style="362" hidden="1" customWidth="1"/>
    <col min="56" max="56" width="2.6875" style="362" hidden="1" customWidth="1"/>
    <col min="57" max="57" width="18.6953125" style="377" hidden="1" customWidth="1"/>
    <col min="58" max="58" width="5.6484375" style="362" hidden="1" customWidth="1"/>
    <col min="59" max="61" width="11.703125" style="362" hidden="1" customWidth="1"/>
    <col min="62" max="62" width="2.6875" style="362" hidden="1" customWidth="1"/>
    <col min="63" max="63" width="18.6953125" style="377" hidden="1" customWidth="1"/>
    <col min="64" max="64" width="5.6484375" style="362" hidden="1" customWidth="1"/>
    <col min="65" max="67" width="11.703125" style="362" hidden="1" customWidth="1"/>
    <col min="68" max="68" width="2.6875" style="362" hidden="1" customWidth="1"/>
    <col min="69" max="69" width="2.6875" style="369" hidden="1" customWidth="1"/>
    <col min="70" max="71" width="20.71484375" style="369" hidden="1" customWidth="1"/>
    <col min="72" max="72" width="5.6484375" style="369" hidden="1" customWidth="1"/>
    <col min="73" max="73" width="3.2265625" style="369" customWidth="1"/>
    <col min="74" max="74" width="22.734375" style="369" customWidth="1"/>
    <col min="75" max="75" width="2.6875" style="369" customWidth="1"/>
    <col min="76" max="76" width="22.734375" style="369" customWidth="1"/>
    <col min="77" max="79" width="9.68359375" style="362" customWidth="1"/>
    <col min="80" max="16384" width="9.14453125" style="1"/>
  </cols>
  <sheetData>
    <row r="1" spans="1:75" ht="15.95" customHeight="1" x14ac:dyDescent="0.25">
      <c r="A1" s="800"/>
      <c r="B1" s="776"/>
      <c r="C1" s="864"/>
      <c r="D1" s="776"/>
      <c r="E1" s="776"/>
      <c r="F1" s="776"/>
      <c r="G1" s="776"/>
      <c r="H1" s="776"/>
      <c r="I1" s="776"/>
      <c r="J1" s="853"/>
      <c r="K1" s="853"/>
      <c r="L1" s="776"/>
      <c r="M1" s="776"/>
      <c r="N1" s="776"/>
      <c r="O1" s="776"/>
      <c r="P1" s="776"/>
      <c r="Q1" s="776"/>
      <c r="R1" s="776"/>
      <c r="S1" s="776"/>
      <c r="T1" s="853"/>
      <c r="U1" s="853"/>
      <c r="V1" s="853"/>
      <c r="W1" s="853"/>
      <c r="X1" s="853"/>
      <c r="Y1" s="778"/>
      <c r="Z1" s="778"/>
      <c r="AA1" s="776"/>
      <c r="AB1" s="776"/>
      <c r="AC1" s="776"/>
      <c r="AD1" s="776"/>
      <c r="AE1" s="776"/>
      <c r="AF1" s="800"/>
      <c r="AG1" s="776"/>
      <c r="AH1" s="776"/>
      <c r="AI1" s="776"/>
      <c r="AJ1" s="776"/>
      <c r="AK1" s="776"/>
      <c r="AN1" s="776"/>
      <c r="AO1" s="776"/>
      <c r="AP1" s="776"/>
      <c r="AR1" s="776"/>
      <c r="AS1" s="776"/>
      <c r="AT1" s="776"/>
      <c r="AU1" s="776"/>
      <c r="AV1" s="776"/>
      <c r="AW1" s="800"/>
      <c r="AX1" s="776"/>
      <c r="AY1" s="1663" t="s">
        <v>503</v>
      </c>
      <c r="AZ1" s="1663"/>
      <c r="BA1" s="1661" t="s">
        <v>588</v>
      </c>
      <c r="BB1" s="1661"/>
      <c r="BC1" s="367" t="s">
        <v>589</v>
      </c>
      <c r="BD1" s="358"/>
      <c r="BE1" s="1660" t="s">
        <v>500</v>
      </c>
      <c r="BF1" s="1660"/>
      <c r="BG1" s="1661" t="str">
        <f>BA1</f>
        <v xml:space="preserve">AGE &lt;=60 </v>
      </c>
      <c r="BH1" s="1662"/>
      <c r="BI1" s="368" t="s">
        <v>589</v>
      </c>
      <c r="BJ1" s="358"/>
      <c r="BK1" s="1660" t="s">
        <v>590</v>
      </c>
      <c r="BL1" s="1660"/>
      <c r="BM1" s="1661" t="str">
        <f>BG1</f>
        <v xml:space="preserve">AGE &lt;=60 </v>
      </c>
      <c r="BN1" s="1662"/>
      <c r="BO1" s="368" t="s">
        <v>589</v>
      </c>
      <c r="BP1" s="358"/>
      <c r="BQ1" s="870"/>
      <c r="BR1" s="870"/>
      <c r="BS1" s="870"/>
      <c r="BT1" s="870"/>
      <c r="BU1" s="871"/>
      <c r="BV1" s="870"/>
      <c r="BW1" s="870"/>
    </row>
    <row r="2" spans="1:75" s="7" customFormat="1" ht="13.5" hidden="1" customHeight="1" x14ac:dyDescent="0.25">
      <c r="A2" s="6"/>
      <c r="B2" s="872" t="s">
        <v>591</v>
      </c>
      <c r="C2" s="872" t="s">
        <v>592</v>
      </c>
      <c r="D2" s="872" t="s">
        <v>593</v>
      </c>
      <c r="E2" s="872" t="s">
        <v>594</v>
      </c>
      <c r="F2" s="873"/>
      <c r="G2" s="872" t="s">
        <v>150</v>
      </c>
      <c r="H2" s="872" t="s">
        <v>595</v>
      </c>
      <c r="I2" s="873"/>
      <c r="J2" s="872" t="s">
        <v>150</v>
      </c>
      <c r="K2" s="872" t="s">
        <v>595</v>
      </c>
      <c r="L2" s="873"/>
      <c r="M2" s="874" t="s">
        <v>150</v>
      </c>
      <c r="N2" s="874" t="s">
        <v>596</v>
      </c>
      <c r="O2" s="874" t="s">
        <v>597</v>
      </c>
      <c r="P2" s="874" t="s">
        <v>593</v>
      </c>
      <c r="Q2" s="875" t="s">
        <v>598</v>
      </c>
      <c r="R2" s="874" t="s">
        <v>599</v>
      </c>
      <c r="S2" s="873"/>
      <c r="T2" s="876" t="s">
        <v>150</v>
      </c>
      <c r="U2" s="876" t="s">
        <v>600</v>
      </c>
      <c r="V2" s="876" t="s">
        <v>601</v>
      </c>
      <c r="W2" s="876" t="s">
        <v>602</v>
      </c>
      <c r="X2" s="876" t="s">
        <v>603</v>
      </c>
      <c r="Y2" s="876" t="s">
        <v>604</v>
      </c>
      <c r="Z2" s="978" t="s">
        <v>729</v>
      </c>
      <c r="AA2" s="873"/>
      <c r="AB2" s="979" t="s">
        <v>730</v>
      </c>
      <c r="AC2" s="1665" t="s">
        <v>605</v>
      </c>
      <c r="AD2" s="1666"/>
      <c r="AE2" s="981">
        <f>DATE(YEAR(AE3),MONTH(AE3)-1,DAY(AE3))</f>
        <v>45901</v>
      </c>
      <c r="AF2" s="873"/>
      <c r="AG2" s="1665" t="s">
        <v>606</v>
      </c>
      <c r="AH2" s="1666"/>
      <c r="AI2" s="982">
        <f>IFERROR(DATE(YEAR(AI3),MONTH(AI3)-1,DAY(AI3)),G3)</f>
        <v>46082</v>
      </c>
      <c r="AJ2" s="6"/>
      <c r="AL2" s="65"/>
      <c r="AM2" s="74" t="s">
        <v>607</v>
      </c>
      <c r="AN2" s="873"/>
      <c r="AO2" s="90" t="s">
        <v>608</v>
      </c>
      <c r="AP2" s="877" t="s">
        <v>609</v>
      </c>
      <c r="AQ2" s="65"/>
      <c r="AR2" s="92" t="s">
        <v>610</v>
      </c>
      <c r="AS2" s="878" t="str">
        <f>IF(AND(DATA!D5="CPS",DATA!Q14="YES",AP16&gt;150000),"SPLIT",IF(AND(DATA!D5="GPF",DATA!Q13&gt;0),"SPLIT","NO"))</f>
        <v>NO</v>
      </c>
      <c r="AT2" s="879" t="s">
        <v>611</v>
      </c>
      <c r="AU2" s="880" t="s">
        <v>612</v>
      </c>
      <c r="AV2" s="879" t="s">
        <v>613</v>
      </c>
      <c r="AW2" s="873"/>
      <c r="AY2" s="376" t="s">
        <v>614</v>
      </c>
      <c r="AZ2" s="360">
        <v>0</v>
      </c>
      <c r="BA2" s="359">
        <v>250000</v>
      </c>
      <c r="BB2" s="359">
        <f>ROUND(BA2*AZ2,0)</f>
        <v>0</v>
      </c>
      <c r="BC2" s="361">
        <f>IF(AND(KEY!$BS$11&gt;=5000000,KEY!$BS$11&lt;=10000000),5000000,IF(AND(KEY!$BS$11&gt;10000000,KEY!$BS$11&lt;=20000000),10000000,IF(AND(KEY!$BS$11&gt;20000000,KEY!$BS$11&lt;=50000000),20000000,IF(AND(KEY!$BS$11&gt;50000000),50000000,0))))</f>
        <v>0</v>
      </c>
      <c r="BD2" s="362"/>
      <c r="BE2" s="376" t="s">
        <v>615</v>
      </c>
      <c r="BF2" s="360">
        <v>0</v>
      </c>
      <c r="BG2" s="359">
        <v>400000</v>
      </c>
      <c r="BH2" s="359">
        <f>ROUND(BG2*BF2,0)</f>
        <v>0</v>
      </c>
      <c r="BI2" s="361">
        <f>IF(AND(KEY!$BS$11&gt;=5000000,KEY!$BS$11&lt;=10000000),5000000,IF(AND(KEY!$BS$11&gt;10000000,KEY!$BS$11&lt;=20000000),10000000,IF(AND(KEY!$BS$11&gt;20000000,KEY!$BS$11&lt;=50000000),20000000,IF(AND(KEY!$BS$11&gt;50000000),50000000,0))))</f>
        <v>0</v>
      </c>
      <c r="BJ2" s="362"/>
      <c r="BK2" s="376" t="str">
        <f>IF($BM$36&lt;=$BN$36,AY2,BE2)</f>
        <v>Rs.   000000 - Rs.  400000</v>
      </c>
      <c r="BL2" s="360">
        <f>IF($BM$36&lt;=$BN$36,AZ2,BF2)</f>
        <v>0</v>
      </c>
      <c r="BM2" s="359">
        <f>IF($BM$36&lt;=$BN$36,BA2,BG2)</f>
        <v>400000</v>
      </c>
      <c r="BN2" s="359">
        <f>IF($BM$36&lt;=$BN$36,BB2,BH2)</f>
        <v>0</v>
      </c>
      <c r="BO2" s="361">
        <f>IF(KEY!$BB$8&lt;=KEY!$BH$9,BC2,BI2)</f>
        <v>0</v>
      </c>
      <c r="BP2" s="362"/>
      <c r="BQ2" s="870"/>
      <c r="BR2" s="402" t="s">
        <v>616</v>
      </c>
      <c r="BS2" s="402" t="s">
        <v>617</v>
      </c>
      <c r="BU2" s="6"/>
      <c r="BW2" s="881"/>
    </row>
    <row r="3" spans="1:75" s="8" customFormat="1" ht="15.95" hidden="1" customHeight="1" x14ac:dyDescent="0.25">
      <c r="A3" s="9"/>
      <c r="B3" s="7"/>
      <c r="C3" s="7"/>
      <c r="D3" s="882">
        <f>C4</f>
        <v>20000</v>
      </c>
      <c r="E3" s="883">
        <v>20000</v>
      </c>
      <c r="F3" s="9"/>
      <c r="G3" s="884">
        <v>45717</v>
      </c>
      <c r="H3" s="885">
        <f>IF(DATA!D3="",C7,DATA!D3)</f>
        <v>57100</v>
      </c>
      <c r="I3" s="9"/>
      <c r="J3" s="886">
        <v>46054</v>
      </c>
      <c r="K3" s="877">
        <f>IF(VALUE($H$10)&gt;VALUE(J3),LOOKUP($H$3,BP_2021,BP_2020),H3)</f>
        <v>57100</v>
      </c>
      <c r="L3" s="9"/>
      <c r="M3" s="887">
        <f>INDEX($J$29:$K$40,ROWS(J29:K$40),1)</f>
        <v>44927</v>
      </c>
      <c r="N3" s="10" t="str">
        <f>IF(VALUE($H$8)=VALUE(M3),$G$8, "")</f>
        <v/>
      </c>
      <c r="O3" s="888">
        <f>INDEX($J$29:$K$40,ROWS(J29:K$40),2)</f>
        <v>52600</v>
      </c>
      <c r="P3" s="10" t="str">
        <f t="shared" ref="P3:P39" si="0">IF(VALUE($H$11)=VALUE(M3),$G$11, "")</f>
        <v/>
      </c>
      <c r="Q3" s="888">
        <f t="shared" ref="Q3:Q39" si="1">IF(VALUE($H$11)&gt;VALUE(M3),LOOKUP(O3,BP_2021,BP_2020), IF(VALUE($H$11)&lt;=VALUE(M3),LOOKUP(O3,BP_2020,BP_2021),O3))</f>
        <v>51140</v>
      </c>
      <c r="R3" s="888">
        <f>IF(VALUE($H$11)=VALUE($M$42),O3,MIN(O3,Q3))</f>
        <v>52600</v>
      </c>
      <c r="S3" s="9"/>
      <c r="T3" s="889">
        <f>DATA!G3</f>
        <v>45717</v>
      </c>
      <c r="U3" s="890">
        <f>IF(VALUE(T3)&gt;=VALUE($AD$5),$AE$5,$AE$4)</f>
        <v>0.3367</v>
      </c>
      <c r="V3" s="890">
        <f t="shared" ref="V3:V14" si="2">IFERROR(IF(VALUE(T3)&gt;=VALUE($AH$5),$AI$5,U3),U3)</f>
        <v>0.3367</v>
      </c>
      <c r="W3" s="890">
        <f>MAX(U3,V3)</f>
        <v>0.3367</v>
      </c>
      <c r="X3" s="891">
        <f>IFERROR(DATA!C43,12%)</f>
        <v>0.1</v>
      </c>
      <c r="Y3" s="892">
        <f>DATA!C44</f>
        <v>0</v>
      </c>
      <c r="Z3" s="983">
        <f>IF(VALUE(T3)&gt;=VALUE($AB$3),DATA!$D$20,0)</f>
        <v>0</v>
      </c>
      <c r="AA3" s="9"/>
      <c r="AB3" s="980">
        <f>IF(DATA!E20="",G59,IF(DATA!E20="NO CHANGE",G59,DATA!E20))</f>
        <v>46113</v>
      </c>
      <c r="AC3" s="1667" t="s">
        <v>618</v>
      </c>
      <c r="AD3" s="1669"/>
      <c r="AE3" s="980">
        <f>IF(DATA!E21="",G59,IF(DATA!E21="NO CHANGE",G59,DATA!E21))</f>
        <v>45931</v>
      </c>
      <c r="AF3" s="9"/>
      <c r="AG3" s="1667" t="s">
        <v>619</v>
      </c>
      <c r="AH3" s="1669"/>
      <c r="AI3" s="889">
        <f>IF(DATA!E22="",G59,IF(DATA!E22="NO CHANGE",G59,DATA!E22))</f>
        <v>46113</v>
      </c>
      <c r="AJ3" s="9"/>
      <c r="AL3" s="65"/>
      <c r="AM3" s="72" t="s">
        <v>620</v>
      </c>
      <c r="AN3" s="9"/>
      <c r="AO3" s="83" t="str">
        <f>'ANNEXURE II'!D28</f>
        <v>CPS       :   A/c No. :  9963535304</v>
      </c>
      <c r="AP3" s="894">
        <f>'ANNEXURE I'!Q27</f>
        <v>90931</v>
      </c>
      <c r="AQ3" s="65"/>
      <c r="AR3" s="895">
        <f>IF(DATA!$D$5="CPS",AS24,AP3)</f>
        <v>90931</v>
      </c>
      <c r="AS3" s="895">
        <f>IF(AS2="SPLIT", AR3, AP3)</f>
        <v>90931</v>
      </c>
      <c r="AT3" s="895">
        <f>IF(AND(DATA!$D$5="CPS",AS2="SPLIT"),MIN(150000,AS3),AP3)</f>
        <v>90931</v>
      </c>
      <c r="AU3" s="895">
        <f>AT3</f>
        <v>90931</v>
      </c>
      <c r="AV3" s="895">
        <f>IF(KEY!$AZ$29="NEW",0,AU3)</f>
        <v>0</v>
      </c>
      <c r="AW3" s="9"/>
      <c r="AY3" s="376" t="s">
        <v>621</v>
      </c>
      <c r="AZ3" s="360">
        <v>0.05</v>
      </c>
      <c r="BA3" s="359">
        <f>MIN(MAX(KEY!$BS$11-BA2,0),250000)</f>
        <v>250000</v>
      </c>
      <c r="BB3" s="359">
        <f>ROUND(BA3*AZ3,0)</f>
        <v>12500</v>
      </c>
      <c r="BC3" s="361">
        <f>MAX(0,IF(AND(BC2&lt;=250000),0,  IF(AND(BC2&gt;250000,AND(BC2&lt;=500000)),ROUND((BC2-250000)*5%,0),  IF(AND(BC2&gt;500000,AND(BC2&lt;=1000000)),ROUND(12500+(BC2-500000)*20%,0),  IF(AND(BC2&gt;1000000),ROUND(112500+(BC2-1000000)*30%,0),0)))))</f>
        <v>0</v>
      </c>
      <c r="BD3" s="362"/>
      <c r="BE3" s="376" t="s">
        <v>622</v>
      </c>
      <c r="BF3" s="360">
        <v>0.05</v>
      </c>
      <c r="BG3" s="359">
        <f>MIN(MAX(BS10-BG2,0),400000)</f>
        <v>400000</v>
      </c>
      <c r="BH3" s="359">
        <f t="shared" ref="BH3:BH8" si="3">ROUND(BG3*BF3,0)</f>
        <v>20000</v>
      </c>
      <c r="BI3" s="361">
        <f>IF(AND(BI2&lt;=300000),0,
IF(AND(BI2&gt;300000,AND(BI2&lt;=600000)),ROUND((#REF!-300000)*5%,0),
IF(AND(BI2&gt;600000,AND(BI2&lt;=900000)),ROUND(15000+(BI2-600000)*10%,0),
IF(AND(BI2&gt;900000,AND(BI2&lt;=1200000)),ROUND(45000+(BI2-900000)*15%,0),
IF(AND(BI2&gt;1200000,AND(BI2&lt;=1500000)),ROUND(90000+(BI2-1200000)*20%,0),
IF(AND(BI2&gt;1500000),ROUND(150000+(BI2-1500000)*30%,0),0))))))</f>
        <v>0</v>
      </c>
      <c r="BJ3" s="362"/>
      <c r="BK3" s="376" t="str">
        <f t="shared" ref="BK3:BK8" si="4">IF($BM$36&lt;=$BN$36,AY3,BE3)</f>
        <v>Rs.   400001 - Rs.  800000</v>
      </c>
      <c r="BL3" s="360">
        <f t="shared" ref="BL3:BL8" si="5">IF($BM$36&lt;=$BN$36,AZ3,BF3)</f>
        <v>0.05</v>
      </c>
      <c r="BM3" s="359">
        <f t="shared" ref="BM3:BM7" si="6">IF($BM$36&lt;=$BN$36,BA3,BG3)</f>
        <v>400000</v>
      </c>
      <c r="BN3" s="359">
        <f t="shared" ref="BN3:BN8" si="7">IF($BM$36&lt;=$BN$36,BB3,BH3)</f>
        <v>20000</v>
      </c>
      <c r="BO3" s="361">
        <f>IF(KEY!$BB$8&lt;=KEY!$BH$9,BC3,BI3)</f>
        <v>0</v>
      </c>
      <c r="BP3" s="362"/>
      <c r="BQ3" s="870"/>
      <c r="BR3" s="896" t="s">
        <v>486</v>
      </c>
      <c r="BS3" s="897" t="s">
        <v>623</v>
      </c>
      <c r="BU3" s="9"/>
      <c r="BW3" s="870"/>
    </row>
    <row r="4" spans="1:75" s="8" customFormat="1" ht="15.95" hidden="1" customHeight="1" x14ac:dyDescent="0.25">
      <c r="A4" s="9"/>
      <c r="B4" s="776"/>
      <c r="C4" s="877">
        <f>B5</f>
        <v>20000</v>
      </c>
      <c r="D4" s="882">
        <f t="shared" ref="D4:D67" si="8">C5</f>
        <v>20600</v>
      </c>
      <c r="E4" s="883">
        <v>20600</v>
      </c>
      <c r="F4" s="9"/>
      <c r="G4" s="898">
        <f>J17</f>
        <v>45627</v>
      </c>
      <c r="H4" s="899">
        <f>IF(VALUE($H$9)&gt;VALUE(J17),LOOKUP($K$16,BP_2021,BP_2020),K16)</f>
        <v>55520</v>
      </c>
      <c r="I4" s="9"/>
      <c r="J4" s="886">
        <v>46023</v>
      </c>
      <c r="K4" s="877">
        <f>IF(VALUE($H$10)&gt;VALUE(J4),LOOKUP($H$3,BP_2021,BP_2020),K3)</f>
        <v>57100</v>
      </c>
      <c r="L4" s="9"/>
      <c r="M4" s="887">
        <f>INDEX($J$29:$K$40,ROWS(J30:K$40),1)</f>
        <v>44958</v>
      </c>
      <c r="N4" s="10" t="str">
        <f t="shared" ref="N4:N14" si="9">IF(VALUE($H$8)=VALUE(M4),$G$8, "")</f>
        <v/>
      </c>
      <c r="O4" s="888">
        <f>INDEX($J$29:$K$40,ROWS(J30:K$40),2)</f>
        <v>52600</v>
      </c>
      <c r="P4" s="10" t="str">
        <f t="shared" si="0"/>
        <v/>
      </c>
      <c r="Q4" s="888">
        <f t="shared" si="1"/>
        <v>51140</v>
      </c>
      <c r="R4" s="888">
        <f t="shared" ref="R4:R42" si="10">IF(VALUE($H$11)=VALUE($M$42),O4,MIN(O4,Q4))</f>
        <v>52600</v>
      </c>
      <c r="S4" s="9"/>
      <c r="T4" s="889">
        <f>DATA!G4</f>
        <v>45748</v>
      </c>
      <c r="U4" s="890">
        <f>IF(VALUE(T4)&gt;=VALUE($AD$5),$AE$5,$AE$4)</f>
        <v>0.3367</v>
      </c>
      <c r="V4" s="890">
        <f t="shared" si="2"/>
        <v>0.3367</v>
      </c>
      <c r="W4" s="890">
        <f t="shared" ref="W4:W12" si="11">MAX(U4,V4)</f>
        <v>0.3367</v>
      </c>
      <c r="X4" s="891">
        <f>IFERROR(IF(OR(DATA!$D$43="",DATA!$D$43="NO CHANGE"),DATA!$C$43,IF(VALUE(DATA!$D$43)=VALUE(T4),(DATA!$C$43/DAY((EOMONTH(DATA!$D$43,0)))*(DATA!$E$45-1))+(DATA!$E$43/DAY((EOMONTH(DATA!$D$43,0)))*(DAY(EOMONTH(DATA!$D$43,0))-DATA!$E$45+1)),IF(VALUE(DATA!$D$43)&lt;VALUE(T4),DATA!$E$43,DATA!$C$43))),X3)</f>
        <v>0.1</v>
      </c>
      <c r="Y4" s="892">
        <f>IFERROR(IF(OR(DATA!$D$44="",DATA!$D$44="NO CHANGE"),DATA!$C$44,IF(VALUE(DATA!$D$44)=VALUE(T4),(DATA!$C$44/DAY((EOMONTH(DATA!$D$44,0)))*(DATA!$E$46-1))+(DATA!$E$44/DAY((EOMONTH(DATA!$D$44,0)))*(DAY(EOMONTH(DATA!$D$44,0))-DATA!$E$46+1)),IF(VALUE(DATA!$D$44)&lt;VALUE(T4),DATA!$E$44, DATA!$C$44))),Y3)</f>
        <v>0</v>
      </c>
      <c r="Z4" s="983">
        <f>IF(VALUE(T4)&gt;=VALUE($AB$3),DATA!$D$20,0)</f>
        <v>0</v>
      </c>
      <c r="AA4" s="9"/>
      <c r="AB4" s="893"/>
      <c r="AC4" s="11" t="s">
        <v>624</v>
      </c>
      <c r="AD4" s="18">
        <f>DATA!G3</f>
        <v>45717</v>
      </c>
      <c r="AE4" s="900">
        <v>0.3367</v>
      </c>
      <c r="AF4" s="9"/>
      <c r="AG4" s="11" t="s">
        <v>624</v>
      </c>
      <c r="AH4" s="19">
        <f>AD5</f>
        <v>45931</v>
      </c>
      <c r="AI4" s="900">
        <f>AE5</f>
        <v>0.37309999999999999</v>
      </c>
      <c r="AJ4" s="9"/>
      <c r="AL4" s="65"/>
      <c r="AM4" s="72" t="s">
        <v>29</v>
      </c>
      <c r="AN4" s="9"/>
      <c r="AO4" s="83" t="str">
        <f>'ANNEXURE II'!D29</f>
        <v>A.P.G.L.I.  :   A/c No. :  L-123456</v>
      </c>
      <c r="AP4" s="894">
        <f>'ANNEXURE I'!R27</f>
        <v>30000</v>
      </c>
      <c r="AQ4" s="65"/>
      <c r="AR4" s="895">
        <f t="shared" ref="AR4:AR15" si="12">AP4</f>
        <v>30000</v>
      </c>
      <c r="AS4" s="895">
        <f t="shared" ref="AS4:AT15" si="13">AR4</f>
        <v>30000</v>
      </c>
      <c r="AT4" s="895">
        <f t="shared" si="13"/>
        <v>30000</v>
      </c>
      <c r="AU4" s="895">
        <f t="shared" ref="AU4:AU15" si="14">AT4</f>
        <v>30000</v>
      </c>
      <c r="AV4" s="895">
        <f>IF(KEY!$AZ$29="NEW",0,AU4)</f>
        <v>0</v>
      </c>
      <c r="AW4" s="9"/>
      <c r="AY4" s="376" t="s">
        <v>625</v>
      </c>
      <c r="AZ4" s="360">
        <v>0.2</v>
      </c>
      <c r="BA4" s="359">
        <f>MIN(MAX(KEY!$BS$11-(BA2+BA3),0),500000)</f>
        <v>292840</v>
      </c>
      <c r="BB4" s="359">
        <f>ROUND(BA4*AZ4,0)</f>
        <v>58568</v>
      </c>
      <c r="BC4" s="361">
        <f>IF(AND(BC2&gt;5000000,BC2&lt;=10000000),ROUND(BC3*10%,0),IF(AND(BC2&gt;10000000,BC2&lt;=20000000),ROUND(BC3*15%,0),IF(AND(BC2&gt;20000000,BC2&lt;=50000000),ROUND(BC3*25%,0),IF(AND(BC2&gt;5000000),ROUND(BC3*37%,0),0))))</f>
        <v>0</v>
      </c>
      <c r="BD4" s="362"/>
      <c r="BE4" s="376" t="s">
        <v>626</v>
      </c>
      <c r="BF4" s="360">
        <v>0.1</v>
      </c>
      <c r="BG4" s="359">
        <f>MIN(MAX(BS10-(BG2+BG3),0),400000)</f>
        <v>103410</v>
      </c>
      <c r="BH4" s="359">
        <f t="shared" si="3"/>
        <v>10341</v>
      </c>
      <c r="BI4" s="361">
        <f>IF(AND(BI2&gt;5000000,BI2&lt;=10000000),ROUND(BI3*10%,0),IF(AND(BI2&gt;10000000,BI2&lt;=20000000),ROUND(BI3*15%,0),IF(AND(BI2&gt;20000000),ROUND(BI3*25%,0),0)))</f>
        <v>0</v>
      </c>
      <c r="BJ4" s="362"/>
      <c r="BK4" s="376" t="str">
        <f t="shared" si="4"/>
        <v>Rs.   800001 - Rs. 1200000</v>
      </c>
      <c r="BL4" s="360">
        <f t="shared" si="5"/>
        <v>0.1</v>
      </c>
      <c r="BM4" s="359">
        <f t="shared" si="6"/>
        <v>103410</v>
      </c>
      <c r="BN4" s="359">
        <f t="shared" si="7"/>
        <v>10341</v>
      </c>
      <c r="BO4" s="361">
        <f>IF(KEY!$BB$8&lt;=KEY!$BH$9,BC4,BI4)</f>
        <v>0</v>
      </c>
      <c r="BP4" s="362"/>
      <c r="BQ4" s="870"/>
      <c r="BR4" s="896" t="s">
        <v>247</v>
      </c>
      <c r="BS4" s="901">
        <f>'ANNEXURE II'!T7+'ANNEXURE II'!T25</f>
        <v>978405</v>
      </c>
      <c r="BU4" s="9"/>
      <c r="BW4" s="870"/>
    </row>
    <row r="5" spans="1:75" s="8" customFormat="1" ht="15.95" hidden="1" customHeight="1" x14ac:dyDescent="0.25">
      <c r="A5" s="9"/>
      <c r="B5" s="877">
        <v>20000</v>
      </c>
      <c r="C5" s="877">
        <f t="shared" ref="C5:D68" si="15">B6</f>
        <v>20600</v>
      </c>
      <c r="D5" s="882">
        <f t="shared" si="8"/>
        <v>21200</v>
      </c>
      <c r="E5" s="883">
        <v>21200</v>
      </c>
      <c r="F5" s="9"/>
      <c r="G5" s="898">
        <f>J29</f>
        <v>45261</v>
      </c>
      <c r="H5" s="899">
        <f>IF(VALUE($H$8)&gt;VALUE(J29),LOOKUP($K$28,BP_2021,BP_2020),K28)</f>
        <v>54060</v>
      </c>
      <c r="I5" s="9"/>
      <c r="J5" s="886">
        <v>45992</v>
      </c>
      <c r="K5" s="877">
        <f t="shared" ref="K5:K16" si="16">IF(VALUE($H$10)&gt;VALUE(J5),LOOKUP($H$3,BP_2021,BP_2020),K4)</f>
        <v>57100</v>
      </c>
      <c r="L5" s="9"/>
      <c r="M5" s="887">
        <f>INDEX($J$29:$K$40,ROWS(J31:K$40),1)</f>
        <v>44986</v>
      </c>
      <c r="N5" s="10" t="str">
        <f t="shared" si="9"/>
        <v/>
      </c>
      <c r="O5" s="888">
        <f>INDEX($J$29:$K$40,ROWS(J31:K$40),2)</f>
        <v>52600</v>
      </c>
      <c r="P5" s="10" t="str">
        <f t="shared" si="0"/>
        <v/>
      </c>
      <c r="Q5" s="888">
        <f t="shared" si="1"/>
        <v>51140</v>
      </c>
      <c r="R5" s="888">
        <f t="shared" si="10"/>
        <v>52600</v>
      </c>
      <c r="S5" s="9"/>
      <c r="T5" s="889">
        <f>DATA!G5</f>
        <v>45778</v>
      </c>
      <c r="U5" s="890">
        <f t="shared" ref="U5:U14" si="17">IF(VALUE(T5)&gt;=VALUE($AD$5),$AE$5,$AE$4)</f>
        <v>0.3367</v>
      </c>
      <c r="V5" s="890">
        <f t="shared" si="2"/>
        <v>0.3367</v>
      </c>
      <c r="W5" s="890">
        <f t="shared" si="11"/>
        <v>0.3367</v>
      </c>
      <c r="X5" s="891">
        <f>IFERROR(IF(OR(DATA!$D$43="",DATA!$D$43="NO CHANGE"),DATA!$C$43,IF(VALUE(DATA!$D$43)=VALUE(T5),(DATA!$C$43/DAY((EOMONTH(DATA!$D$43,0)))*(DATA!$E$45-1))+(DATA!$E$43/DAY((EOMONTH(DATA!$D$43,0)))*(DAY(EOMONTH(DATA!$D$43,0))-DATA!$E$45+1)),IF(VALUE(DATA!$D$43)&lt;VALUE(T5),DATA!$E$43,DATA!$C$43))),X4)</f>
        <v>0.1</v>
      </c>
      <c r="Y5" s="892">
        <f>IFERROR(IF(OR(DATA!$D$44="",DATA!$D$44="NO CHANGE"),DATA!$C$44,IF(VALUE(DATA!$D$44)=VALUE(T5),(DATA!$C$44/DAY((EOMONTH(DATA!$D$44,0)))*(DATA!$E$46-1))+(DATA!$E$44/DAY((EOMONTH(DATA!$D$44,0)))*(DAY(EOMONTH(DATA!$D$44,0))-DATA!$E$46+1)),IF(VALUE(DATA!$D$44)&lt;VALUE(T5),DATA!$E$44, DATA!$C$44))),Y4)</f>
        <v>0</v>
      </c>
      <c r="Z5" s="983">
        <f>IF(VALUE(T5)&gt;=VALUE($AB$3),DATA!$D$20,0)</f>
        <v>0</v>
      </c>
      <c r="AA5" s="9"/>
      <c r="AB5" s="893"/>
      <c r="AC5" s="11" t="s">
        <v>624</v>
      </c>
      <c r="AD5" s="19">
        <f>AE3</f>
        <v>45931</v>
      </c>
      <c r="AE5" s="902">
        <f>DATA!D21</f>
        <v>0.37309999999999999</v>
      </c>
      <c r="AF5" s="9"/>
      <c r="AG5" s="11" t="s">
        <v>624</v>
      </c>
      <c r="AH5" s="18">
        <f>AI3</f>
        <v>46113</v>
      </c>
      <c r="AI5" s="900">
        <f>AE6</f>
        <v>0.40039999999999998</v>
      </c>
      <c r="AJ5" s="9"/>
      <c r="AL5" s="65"/>
      <c r="AM5" s="72" t="s">
        <v>627</v>
      </c>
      <c r="AN5" s="9"/>
      <c r="AO5" s="83" t="str">
        <f>'ANNEXURE II'!D30</f>
        <v>G.I.S.    ( Group Insurance Scheme )</v>
      </c>
      <c r="AP5" s="894">
        <f>'ANNEXURE I'!S27</f>
        <v>720</v>
      </c>
      <c r="AQ5" s="65"/>
      <c r="AR5" s="895">
        <f t="shared" si="12"/>
        <v>720</v>
      </c>
      <c r="AS5" s="895">
        <f t="shared" si="13"/>
        <v>720</v>
      </c>
      <c r="AT5" s="895">
        <f t="shared" si="13"/>
        <v>720</v>
      </c>
      <c r="AU5" s="895">
        <f t="shared" si="14"/>
        <v>720</v>
      </c>
      <c r="AV5" s="895">
        <f>IF(KEY!$AZ$29="NEW",0,AU5)</f>
        <v>0</v>
      </c>
      <c r="AW5" s="9"/>
      <c r="AY5" s="376" t="s">
        <v>628</v>
      </c>
      <c r="AZ5" s="360">
        <v>0.3</v>
      </c>
      <c r="BA5" s="359">
        <f>MIN(MAX(KEY!$BS$11-(BA2+BA3+BA4),0))</f>
        <v>0</v>
      </c>
      <c r="BB5" s="359">
        <f>ROUND(BA5*AZ5,0)</f>
        <v>0</v>
      </c>
      <c r="BC5" s="361" t="b">
        <f>IF(AND(BA8&gt;5000000,BA8&lt;=10000000),ROUND(BB8*10%,0),
IF(AND(BA8&gt;10000000,BA8&lt;=20000000),ROUND(BB8*15%,0),
IF(AND(BA8&gt;20000000,BA8&lt;=50000000),ROUND(BB8*25%,0),
IF(AND(BA8&gt;5000000),ROUND(BB8*37%,0)))))</f>
        <v>0</v>
      </c>
      <c r="BD5" s="362"/>
      <c r="BE5" s="376" t="s">
        <v>629</v>
      </c>
      <c r="BF5" s="360">
        <v>0.15</v>
      </c>
      <c r="BG5" s="359">
        <f>MIN(MAX(BS10-(BG2+BG3+BG4),0),400000)</f>
        <v>0</v>
      </c>
      <c r="BH5" s="359">
        <f t="shared" si="3"/>
        <v>0</v>
      </c>
      <c r="BI5" s="386">
        <f>MAX(0,(BI13+BI15)-(BI4+BI3)-(BS10-BI2))</f>
        <v>0</v>
      </c>
      <c r="BJ5" s="362"/>
      <c r="BK5" s="376" t="str">
        <f t="shared" si="4"/>
        <v>Rs. 1200001 - Rs.1600000</v>
      </c>
      <c r="BL5" s="360">
        <f t="shared" si="5"/>
        <v>0.15</v>
      </c>
      <c r="BM5" s="359">
        <f t="shared" si="6"/>
        <v>0</v>
      </c>
      <c r="BN5" s="359">
        <f t="shared" si="7"/>
        <v>0</v>
      </c>
      <c r="BO5" s="361">
        <f>IF(KEY!$BB$8&lt;=KEY!$BH$9,BC5,BI5)</f>
        <v>0</v>
      </c>
      <c r="BP5" s="362"/>
      <c r="BQ5" s="870"/>
      <c r="BR5" s="896" t="s">
        <v>630</v>
      </c>
      <c r="BS5" s="901">
        <f>IF(DATA!D5="CPS",KEY!AV19,0)+AV34</f>
        <v>50000</v>
      </c>
      <c r="BU5" s="9"/>
      <c r="BW5" s="870"/>
    </row>
    <row r="6" spans="1:75" s="8" customFormat="1" ht="15.95" hidden="1" customHeight="1" x14ac:dyDescent="0.25">
      <c r="A6" s="9"/>
      <c r="B6" s="877">
        <v>20600</v>
      </c>
      <c r="C6" s="877">
        <f t="shared" si="15"/>
        <v>21200</v>
      </c>
      <c r="D6" s="882">
        <f t="shared" si="8"/>
        <v>21800</v>
      </c>
      <c r="E6" s="883">
        <v>21800</v>
      </c>
      <c r="F6" s="9"/>
      <c r="I6" s="9"/>
      <c r="J6" s="886">
        <v>45962</v>
      </c>
      <c r="K6" s="877">
        <f t="shared" si="16"/>
        <v>57100</v>
      </c>
      <c r="L6" s="9"/>
      <c r="M6" s="887">
        <f>INDEX($J$29:$K$40,ROWS(J32:K$40),1)</f>
        <v>45017</v>
      </c>
      <c r="N6" s="10" t="str">
        <f t="shared" si="9"/>
        <v/>
      </c>
      <c r="O6" s="888">
        <f>INDEX($J$29:$K$40,ROWS(J32:K$40),2)</f>
        <v>52600</v>
      </c>
      <c r="P6" s="10" t="str">
        <f t="shared" si="0"/>
        <v/>
      </c>
      <c r="Q6" s="888">
        <f t="shared" si="1"/>
        <v>51140</v>
      </c>
      <c r="R6" s="888">
        <f t="shared" si="10"/>
        <v>52600</v>
      </c>
      <c r="S6" s="9"/>
      <c r="T6" s="889">
        <f>DATA!G6</f>
        <v>45809</v>
      </c>
      <c r="U6" s="890">
        <f t="shared" si="17"/>
        <v>0.3367</v>
      </c>
      <c r="V6" s="890">
        <f t="shared" si="2"/>
        <v>0.3367</v>
      </c>
      <c r="W6" s="890">
        <f t="shared" si="11"/>
        <v>0.3367</v>
      </c>
      <c r="X6" s="891">
        <f>IFERROR(IF(OR(DATA!$D$43="",DATA!$D$43="NO CHANGE"),DATA!$C$43,IF(VALUE(DATA!$D$43)=VALUE(T6),(DATA!$C$43/DAY((EOMONTH(DATA!$D$43,0)))*(DATA!$E$45-1))+(DATA!$E$43/DAY((EOMONTH(DATA!$D$43,0)))*(DAY(EOMONTH(DATA!$D$43,0))-DATA!$E$45+1)),IF(VALUE(DATA!$D$43)&lt;VALUE(T6),DATA!$E$43,DATA!$C$43))),X5)</f>
        <v>0.1</v>
      </c>
      <c r="Y6" s="892">
        <f>IFERROR(IF(OR(DATA!$D$44="",DATA!$D$44="NO CHANGE"),DATA!$C$44,IF(VALUE(DATA!$D$44)=VALUE(T6),(DATA!$C$44/DAY((EOMONTH(DATA!$D$44,0)))*(DATA!$E$46-1))+(DATA!$E$44/DAY((EOMONTH(DATA!$D$44,0)))*(DAY(EOMONTH(DATA!$D$44,0))-DATA!$E$46+1)),IF(VALUE(DATA!$D$44)&lt;VALUE(T6),DATA!$E$44, DATA!$C$44))),Y5)</f>
        <v>0</v>
      </c>
      <c r="Z6" s="983">
        <f>IF(VALUE(T6)&gt;=VALUE($AB$3),DATA!$D$20,0)</f>
        <v>0</v>
      </c>
      <c r="AA6" s="9"/>
      <c r="AB6" s="893"/>
      <c r="AC6" s="11" t="s">
        <v>624</v>
      </c>
      <c r="AD6" s="19">
        <f>AI3</f>
        <v>46113</v>
      </c>
      <c r="AE6" s="902">
        <f>DATA!D22</f>
        <v>0.40039999999999998</v>
      </c>
      <c r="AF6" s="9"/>
      <c r="AJ6" s="9"/>
      <c r="AL6" s="65"/>
      <c r="AM6" s="72" t="s">
        <v>631</v>
      </c>
      <c r="AN6" s="9"/>
      <c r="AO6" s="83" t="str">
        <f>'ANNEXURE II'!D31</f>
        <v>L.I.C. PREMIUMS (Paid by Hand)</v>
      </c>
      <c r="AP6" s="894">
        <f>'ANNEXURE I'!W27+DATA!Q3</f>
        <v>0</v>
      </c>
      <c r="AQ6" s="65"/>
      <c r="AR6" s="895">
        <f t="shared" si="12"/>
        <v>0</v>
      </c>
      <c r="AS6" s="895">
        <f t="shared" si="13"/>
        <v>0</v>
      </c>
      <c r="AT6" s="895">
        <f t="shared" si="13"/>
        <v>0</v>
      </c>
      <c r="AU6" s="895">
        <f t="shared" si="14"/>
        <v>0</v>
      </c>
      <c r="AV6" s="895">
        <f>IF(KEY!$AZ$29="NEW",0,AU6)</f>
        <v>0</v>
      </c>
      <c r="AW6" s="9"/>
      <c r="AY6" s="376" t="s">
        <v>632</v>
      </c>
      <c r="AZ6" s="360" t="s">
        <v>632</v>
      </c>
      <c r="BA6" s="359">
        <v>0</v>
      </c>
      <c r="BB6" s="359" t="s">
        <v>632</v>
      </c>
      <c r="BC6" s="382">
        <f>MAX(0,(BB8+BC5)-(BC4+BC3)-($BS$11-BC2))</f>
        <v>0</v>
      </c>
      <c r="BD6" s="362"/>
      <c r="BE6" s="376" t="s">
        <v>633</v>
      </c>
      <c r="BF6" s="360">
        <v>0.2</v>
      </c>
      <c r="BG6" s="359">
        <f>MIN(MAX(BS10-(BG2+BG3+BG4+BG5),0),400000)</f>
        <v>0</v>
      </c>
      <c r="BH6" s="359">
        <f t="shared" si="3"/>
        <v>0</v>
      </c>
      <c r="BI6" s="364"/>
      <c r="BJ6" s="362"/>
      <c r="BK6" s="376" t="str">
        <f t="shared" si="4"/>
        <v>Rs.1600001 - Rs.2000000</v>
      </c>
      <c r="BL6" s="360">
        <f t="shared" si="5"/>
        <v>0.2</v>
      </c>
      <c r="BM6" s="359">
        <f t="shared" si="6"/>
        <v>0</v>
      </c>
      <c r="BN6" s="359">
        <f t="shared" si="7"/>
        <v>0</v>
      </c>
      <c r="BO6" s="364">
        <f>IF(KEY!$BB$8&lt;=KEY!$BH$9,BC6,BI6)</f>
        <v>0</v>
      </c>
      <c r="BP6" s="362"/>
      <c r="BQ6" s="870"/>
      <c r="BR6" s="896" t="s">
        <v>634</v>
      </c>
      <c r="BS6" s="901">
        <f>KEY!AU37+KEY!AV19-BS5</f>
        <v>135566</v>
      </c>
      <c r="BU6" s="9"/>
      <c r="BW6" s="870"/>
    </row>
    <row r="7" spans="1:75" ht="15.95" hidden="1" customHeight="1" x14ac:dyDescent="0.25">
      <c r="A7" s="800"/>
      <c r="B7" s="877">
        <v>21200</v>
      </c>
      <c r="C7" s="877">
        <f t="shared" si="15"/>
        <v>21800</v>
      </c>
      <c r="D7" s="882">
        <f t="shared" si="8"/>
        <v>22460</v>
      </c>
      <c r="E7" s="883">
        <v>22460</v>
      </c>
      <c r="F7" s="800"/>
      <c r="G7" s="1670" t="s">
        <v>635</v>
      </c>
      <c r="H7" s="1671"/>
      <c r="I7" s="800"/>
      <c r="J7" s="886">
        <v>45931</v>
      </c>
      <c r="K7" s="877">
        <f t="shared" si="16"/>
        <v>55520</v>
      </c>
      <c r="L7" s="800"/>
      <c r="M7" s="887">
        <f>INDEX($J$29:$K$40,ROWS(J33:K$40),1)</f>
        <v>45047</v>
      </c>
      <c r="N7" s="10" t="str">
        <f t="shared" si="9"/>
        <v/>
      </c>
      <c r="O7" s="888">
        <f>INDEX($J$29:$K$40,ROWS(J33:K$40),2)</f>
        <v>52600</v>
      </c>
      <c r="P7" s="10" t="str">
        <f t="shared" si="0"/>
        <v/>
      </c>
      <c r="Q7" s="888">
        <f t="shared" si="1"/>
        <v>51140</v>
      </c>
      <c r="R7" s="888">
        <f t="shared" si="10"/>
        <v>52600</v>
      </c>
      <c r="S7" s="800"/>
      <c r="T7" s="889">
        <f>DATA!G7</f>
        <v>45839</v>
      </c>
      <c r="U7" s="890">
        <f t="shared" si="17"/>
        <v>0.3367</v>
      </c>
      <c r="V7" s="890">
        <f t="shared" si="2"/>
        <v>0.3367</v>
      </c>
      <c r="W7" s="890">
        <f t="shared" si="11"/>
        <v>0.3367</v>
      </c>
      <c r="X7" s="891">
        <f>IFERROR(IF(OR(DATA!$D$43="",DATA!$D$43="NO CHANGE"),DATA!$C$43,IF(VALUE(DATA!$D$43)=VALUE(T7),(DATA!$C$43/DAY((EOMONTH(DATA!$D$43,0)))*(DATA!$E$45-1))+(DATA!$E$43/DAY((EOMONTH(DATA!$D$43,0)))*(DAY(EOMONTH(DATA!$D$43,0))-DATA!$E$45+1)),IF(VALUE(DATA!$D$43)&lt;VALUE(T7),DATA!$E$43,DATA!$C$43))),X6)</f>
        <v>0.1</v>
      </c>
      <c r="Y7" s="892">
        <f>IFERROR(IF(OR(DATA!$D$44="",DATA!$D$44="NO CHANGE"),DATA!$C$44,IF(VALUE(DATA!$D$44)=VALUE(T7),(DATA!$C$44/DAY((EOMONTH(DATA!$D$44,0)))*(DATA!$E$46-1))+(DATA!$E$44/DAY((EOMONTH(DATA!$D$44,0)))*(DAY(EOMONTH(DATA!$D$44,0))-DATA!$E$46+1)),IF(VALUE(DATA!$D$44)&lt;VALUE(T7),DATA!$E$44, DATA!$C$44))),Y6)</f>
        <v>0</v>
      </c>
      <c r="Z7" s="983">
        <f>IF(VALUE(T7)&gt;=VALUE($AB$3),DATA!$D$20,0)</f>
        <v>0</v>
      </c>
      <c r="AA7" s="800"/>
      <c r="AB7" s="893"/>
      <c r="AC7" s="1667" t="s">
        <v>636</v>
      </c>
      <c r="AD7" s="1668"/>
      <c r="AE7" s="1669"/>
      <c r="AF7" s="800"/>
      <c r="AG7" s="7"/>
      <c r="AH7" s="7"/>
      <c r="AI7" s="7"/>
      <c r="AJ7" s="800"/>
      <c r="AK7" s="776"/>
      <c r="AM7" s="72" t="s">
        <v>637</v>
      </c>
      <c r="AN7" s="800"/>
      <c r="AO7" s="83" t="str">
        <f>'ANNEXURE II'!D32</f>
        <v>POSTAL LIFE INSURANCE (PLI/RPLI)</v>
      </c>
      <c r="AP7" s="894">
        <f>DATA!Q4</f>
        <v>0</v>
      </c>
      <c r="AR7" s="895">
        <f t="shared" si="12"/>
        <v>0</v>
      </c>
      <c r="AS7" s="895">
        <f t="shared" si="13"/>
        <v>0</v>
      </c>
      <c r="AT7" s="895">
        <f t="shared" si="13"/>
        <v>0</v>
      </c>
      <c r="AU7" s="895">
        <f t="shared" si="14"/>
        <v>0</v>
      </c>
      <c r="AV7" s="895">
        <f>IF(KEY!$AZ$29="NEW",0,AU7)</f>
        <v>0</v>
      </c>
      <c r="AW7" s="800"/>
      <c r="AX7" s="776"/>
      <c r="AY7" s="376" t="s">
        <v>632</v>
      </c>
      <c r="AZ7" s="360" t="s">
        <v>632</v>
      </c>
      <c r="BA7" s="359">
        <v>0</v>
      </c>
      <c r="BB7" s="359"/>
      <c r="BC7" s="363"/>
      <c r="BE7" s="376" t="s">
        <v>638</v>
      </c>
      <c r="BF7" s="360">
        <v>0.25</v>
      </c>
      <c r="BG7" s="359">
        <f>MIN(MAX(BS10-(BG2+BG3+BG4+BG5+BG6),0),400000)</f>
        <v>0</v>
      </c>
      <c r="BH7" s="359">
        <f t="shared" si="3"/>
        <v>0</v>
      </c>
      <c r="BI7" s="365"/>
      <c r="BK7" s="376" t="str">
        <f t="shared" si="4"/>
        <v>Rs.2000001 - Rs.2400000</v>
      </c>
      <c r="BL7" s="360">
        <f t="shared" si="5"/>
        <v>0.25</v>
      </c>
      <c r="BM7" s="359">
        <f t="shared" si="6"/>
        <v>0</v>
      </c>
      <c r="BN7" s="359">
        <f t="shared" si="7"/>
        <v>0</v>
      </c>
      <c r="BO7" s="365">
        <f>IF(KEY!$BB$8&lt;=KEY!$BH$9,BC7,BI7)</f>
        <v>0</v>
      </c>
      <c r="BQ7" s="870"/>
      <c r="BR7" s="896" t="s">
        <v>639</v>
      </c>
      <c r="BS7" s="903">
        <v>30723</v>
      </c>
      <c r="BT7" s="870"/>
      <c r="BU7" s="871"/>
      <c r="BV7" s="870"/>
      <c r="BW7" s="870"/>
    </row>
    <row r="8" spans="1:75" ht="15.95" hidden="1" customHeight="1" x14ac:dyDescent="0.25">
      <c r="A8" s="800"/>
      <c r="B8" s="877">
        <v>21800</v>
      </c>
      <c r="C8" s="877">
        <f t="shared" si="15"/>
        <v>22460</v>
      </c>
      <c r="D8" s="882">
        <f t="shared" si="8"/>
        <v>23120</v>
      </c>
      <c r="E8" s="883">
        <v>23120</v>
      </c>
      <c r="F8" s="800"/>
      <c r="G8" s="5" t="s">
        <v>640</v>
      </c>
      <c r="H8" s="904">
        <f>DATA!V32</f>
        <v>45231</v>
      </c>
      <c r="I8" s="800"/>
      <c r="J8" s="886">
        <v>45901</v>
      </c>
      <c r="K8" s="877">
        <f t="shared" si="16"/>
        <v>55520</v>
      </c>
      <c r="L8" s="800"/>
      <c r="M8" s="887">
        <f>INDEX($J$29:$K$40,ROWS(J34:K$40),1)</f>
        <v>45078</v>
      </c>
      <c r="N8" s="10" t="str">
        <f t="shared" si="9"/>
        <v/>
      </c>
      <c r="O8" s="888">
        <f>INDEX($J$29:$K$40,ROWS(J34:K$40),2)</f>
        <v>52600</v>
      </c>
      <c r="P8" s="10" t="str">
        <f t="shared" si="0"/>
        <v/>
      </c>
      <c r="Q8" s="888">
        <f t="shared" si="1"/>
        <v>51140</v>
      </c>
      <c r="R8" s="888">
        <f t="shared" si="10"/>
        <v>52600</v>
      </c>
      <c r="S8" s="800"/>
      <c r="T8" s="889">
        <f>DATA!G8</f>
        <v>45870</v>
      </c>
      <c r="U8" s="890">
        <f>IF(VALUE(T8)&gt;=VALUE($AD$5),$AE$5,$AE$4)</f>
        <v>0.3367</v>
      </c>
      <c r="V8" s="890">
        <f t="shared" si="2"/>
        <v>0.3367</v>
      </c>
      <c r="W8" s="890">
        <f t="shared" si="11"/>
        <v>0.3367</v>
      </c>
      <c r="X8" s="891">
        <f>IFERROR(IF(OR(DATA!$D$43="",DATA!$D$43="NO CHANGE"),DATA!$C$43,IF(VALUE(DATA!$D$43)=VALUE(T8),(DATA!$C$43/DAY((EOMONTH(DATA!$D$43,0)))*(DATA!$E$45-1))+(DATA!$E$43/DAY((EOMONTH(DATA!$D$43,0)))*(DAY(EOMONTH(DATA!$D$43,0))-DATA!$E$45+1)),IF(VALUE(DATA!$D$43)&lt;VALUE(T8),DATA!$E$43,DATA!$C$43))),X7)</f>
        <v>0.1</v>
      </c>
      <c r="Y8" s="892">
        <f>IFERROR(IF(OR(DATA!$D$44="",DATA!$D$44="NO CHANGE"),DATA!$C$44,IF(VALUE(DATA!$D$44)=VALUE(T8),(DATA!$C$44/DAY((EOMONTH(DATA!$D$44,0)))*(DATA!$E$46-1))+(DATA!$E$44/DAY((EOMONTH(DATA!$D$44,0)))*(DAY(EOMONTH(DATA!$D$44,0))-DATA!$E$46+1)),IF(VALUE(DATA!$D$44)&lt;VALUE(T8),DATA!$E$44, DATA!$C$44))),Y7)</f>
        <v>0</v>
      </c>
      <c r="Z8" s="983">
        <f>IF(VALUE(T8)&gt;=VALUE($AB$3),DATA!$D$20,0)</f>
        <v>0</v>
      </c>
      <c r="AA8" s="800"/>
      <c r="AB8" s="874" t="s">
        <v>150</v>
      </c>
      <c r="AC8" s="13">
        <v>1</v>
      </c>
      <c r="AD8" s="13" t="s">
        <v>11</v>
      </c>
      <c r="AE8" s="14" t="s">
        <v>641</v>
      </c>
      <c r="AF8" s="800"/>
      <c r="AG8" s="776"/>
      <c r="AH8" s="776"/>
      <c r="AI8" s="776"/>
      <c r="AJ8" s="800"/>
      <c r="AK8" s="776"/>
      <c r="AM8" s="72" t="s">
        <v>642</v>
      </c>
      <c r="AN8" s="800"/>
      <c r="AO8" s="83" t="str">
        <f>'ANNEXURE II'!D33</f>
        <v>SUKANYA SAMRIDHI YOJANA</v>
      </c>
      <c r="AP8" s="894">
        <f>DATA!Q5</f>
        <v>0</v>
      </c>
      <c r="AR8" s="895">
        <f t="shared" si="12"/>
        <v>0</v>
      </c>
      <c r="AS8" s="895">
        <f t="shared" si="13"/>
        <v>0</v>
      </c>
      <c r="AT8" s="895">
        <f t="shared" si="13"/>
        <v>0</v>
      </c>
      <c r="AU8" s="895">
        <f t="shared" si="14"/>
        <v>0</v>
      </c>
      <c r="AV8" s="895">
        <f>IF(KEY!$AZ$29="NEW",0,AU8)</f>
        <v>0</v>
      </c>
      <c r="AW8" s="800"/>
      <c r="AX8" s="776"/>
      <c r="AY8" s="376" t="s">
        <v>632</v>
      </c>
      <c r="AZ8" s="360"/>
      <c r="BA8" s="366">
        <f>SUM(BA2:BA7)</f>
        <v>792840</v>
      </c>
      <c r="BB8" s="366">
        <f>SUM(BB2:BB7)</f>
        <v>71068</v>
      </c>
      <c r="BC8" s="363"/>
      <c r="BE8" s="376" t="s">
        <v>643</v>
      </c>
      <c r="BF8" s="360">
        <v>0.3</v>
      </c>
      <c r="BG8" s="359">
        <f>MIN(MAX(BS10-(BG2+BG3+BG4+BG5+BG6+BG7),0))</f>
        <v>0</v>
      </c>
      <c r="BH8" s="359">
        <f t="shared" si="3"/>
        <v>0</v>
      </c>
      <c r="BI8" s="363"/>
      <c r="BK8" s="376" t="str">
        <f t="shared" si="4"/>
        <v>Rs.2400000 &amp;    ABOVE</v>
      </c>
      <c r="BL8" s="360">
        <f t="shared" si="5"/>
        <v>0.3</v>
      </c>
      <c r="BM8" s="359">
        <f t="shared" ref="BM8" si="18">IF($BM$36&lt;=$BN$36,BA8,BG8)</f>
        <v>0</v>
      </c>
      <c r="BN8" s="359">
        <f t="shared" si="7"/>
        <v>0</v>
      </c>
      <c r="BO8" s="363"/>
      <c r="BQ8" s="870"/>
      <c r="BR8" s="896" t="s">
        <v>146</v>
      </c>
      <c r="BS8" s="905" t="str">
        <f>DATA!D26</f>
        <v>AUTO</v>
      </c>
      <c r="BT8" s="870"/>
      <c r="BU8" s="871"/>
      <c r="BV8" s="870"/>
      <c r="BW8" s="870"/>
    </row>
    <row r="9" spans="1:75" ht="15.95" hidden="1" customHeight="1" x14ac:dyDescent="0.25">
      <c r="A9" s="800"/>
      <c r="B9" s="877">
        <v>22460</v>
      </c>
      <c r="C9" s="877">
        <f t="shared" si="15"/>
        <v>23120</v>
      </c>
      <c r="D9" s="882">
        <f t="shared" si="8"/>
        <v>23780</v>
      </c>
      <c r="E9" s="883">
        <v>23780</v>
      </c>
      <c r="F9" s="800"/>
      <c r="G9" s="5" t="s">
        <v>644</v>
      </c>
      <c r="H9" s="904">
        <f>DATA!V33</f>
        <v>45597</v>
      </c>
      <c r="I9" s="800"/>
      <c r="J9" s="886">
        <v>45870</v>
      </c>
      <c r="K9" s="877">
        <f t="shared" si="16"/>
        <v>55520</v>
      </c>
      <c r="L9" s="800"/>
      <c r="M9" s="887">
        <f>INDEX($J$29:$K$40,ROWS(J35:K$40),1)</f>
        <v>45108</v>
      </c>
      <c r="N9" s="10" t="str">
        <f t="shared" si="9"/>
        <v/>
      </c>
      <c r="O9" s="888">
        <f>INDEX($J$29:$K$40,ROWS(J35:K$40),2)</f>
        <v>52600</v>
      </c>
      <c r="P9" s="10" t="str">
        <f t="shared" si="0"/>
        <v/>
      </c>
      <c r="Q9" s="888">
        <f t="shared" si="1"/>
        <v>51140</v>
      </c>
      <c r="R9" s="888">
        <f t="shared" si="10"/>
        <v>52600</v>
      </c>
      <c r="S9" s="800"/>
      <c r="T9" s="889">
        <f>DATA!G9</f>
        <v>45901</v>
      </c>
      <c r="U9" s="890">
        <f>IF(VALUE(T9)&gt;=VALUE($AD$5),$AE$5,$AE$4)</f>
        <v>0.3367</v>
      </c>
      <c r="V9" s="890">
        <f t="shared" si="2"/>
        <v>0.3367</v>
      </c>
      <c r="W9" s="890">
        <f t="shared" si="11"/>
        <v>0.3367</v>
      </c>
      <c r="X9" s="891">
        <f>IFERROR(IF(OR(DATA!$D$43="",DATA!$D$43="NO CHANGE"),DATA!$C$43,IF(VALUE(DATA!$D$43)=VALUE(T9),(DATA!$C$43/DAY((EOMONTH(DATA!$D$43,0)))*(DATA!$E$45-1))+(DATA!$E$43/DAY((EOMONTH(DATA!$D$43,0)))*(DAY(EOMONTH(DATA!$D$43,0))-DATA!$E$45+1)),IF(VALUE(DATA!$D$43)&lt;VALUE(T9),DATA!$E$43,DATA!$C$43))),X8)</f>
        <v>0.1</v>
      </c>
      <c r="Y9" s="892">
        <f>IFERROR(IF(OR(DATA!$D$44="",DATA!$D$44="NO CHANGE"),DATA!$C$44,IF(VALUE(DATA!$D$44)=VALUE(T9),(DATA!$C$44/DAY((EOMONTH(DATA!$D$44,0)))*(DATA!$E$46-1))+(DATA!$E$44/DAY((EOMONTH(DATA!$D$44,0)))*(DAY(EOMONTH(DATA!$D$44,0))-DATA!$E$46+1)),IF(VALUE(DATA!$D$44)&lt;VALUE(T9),DATA!$E$44, DATA!$C$44))),Y8)</f>
        <v>0</v>
      </c>
      <c r="Z9" s="983">
        <f>IF(VALUE(T9)&gt;=VALUE($AB$3),DATA!$D$20,0)</f>
        <v>0</v>
      </c>
      <c r="AA9" s="800"/>
      <c r="AB9" s="887">
        <f>INDEX($J$29:$K$40,ROWS(X35:Y$40),1)</f>
        <v>45108</v>
      </c>
      <c r="AC9" s="906">
        <f t="shared" ref="AC9:AC28" si="19">IF($AE$2&lt;M9, 0, ROUND(R9*$AE$5*100%,0) - ROUND(R9*$AE$4*100%,0))</f>
        <v>1915</v>
      </c>
      <c r="AD9" s="906">
        <f t="shared" ref="AD9:AD11" si="20">IF(AC9=0,0,ROUND((R9*$AE$5*10%)-(R9*$AE$4*10%),0))</f>
        <v>191</v>
      </c>
      <c r="AE9" s="906">
        <f t="shared" ref="AE9:AE39" si="21">AC9-AD9</f>
        <v>1724</v>
      </c>
      <c r="AF9" s="800"/>
      <c r="AG9" s="776"/>
      <c r="AH9" s="776"/>
      <c r="AI9" s="776"/>
      <c r="AJ9" s="800"/>
      <c r="AK9" s="776"/>
      <c r="AM9" s="72" t="s">
        <v>645</v>
      </c>
      <c r="AN9" s="800"/>
      <c r="AO9" s="83" t="str">
        <f>'ANNEXURE II'!D34</f>
        <v>S.B.I. LIFE INSURANCE</v>
      </c>
      <c r="AP9" s="894">
        <f>DATA!Q6</f>
        <v>0</v>
      </c>
      <c r="AR9" s="895">
        <f t="shared" si="12"/>
        <v>0</v>
      </c>
      <c r="AS9" s="895">
        <f t="shared" si="13"/>
        <v>0</v>
      </c>
      <c r="AT9" s="895">
        <f t="shared" si="13"/>
        <v>0</v>
      </c>
      <c r="AU9" s="895">
        <f t="shared" si="14"/>
        <v>0</v>
      </c>
      <c r="AV9" s="895">
        <f>IF(KEY!$AZ$29="NEW",0,AU9)</f>
        <v>0</v>
      </c>
      <c r="AW9" s="800"/>
      <c r="AX9" s="776"/>
      <c r="BG9" s="366">
        <f>SUM(BG2:BG8)</f>
        <v>903410</v>
      </c>
      <c r="BH9" s="366">
        <f>SUM(BH2:BH8)</f>
        <v>30341</v>
      </c>
      <c r="BM9" s="366">
        <f>SUM(BM2:BM8)</f>
        <v>903410</v>
      </c>
      <c r="BN9" s="366">
        <f>SUM(BN2:BN8)</f>
        <v>30341</v>
      </c>
      <c r="BQ9" s="870"/>
      <c r="BR9" s="870"/>
      <c r="BS9" s="870"/>
      <c r="BT9" s="870"/>
      <c r="BU9" s="871"/>
      <c r="BV9" s="870"/>
      <c r="BW9" s="870"/>
    </row>
    <row r="10" spans="1:75" ht="15.95" hidden="1" customHeight="1" x14ac:dyDescent="0.25">
      <c r="A10" s="800"/>
      <c r="B10" s="877">
        <v>23120</v>
      </c>
      <c r="C10" s="877">
        <f t="shared" si="15"/>
        <v>23780</v>
      </c>
      <c r="D10" s="882">
        <f t="shared" si="8"/>
        <v>24500</v>
      </c>
      <c r="E10" s="883">
        <v>24500</v>
      </c>
      <c r="F10" s="800"/>
      <c r="G10" s="5" t="s">
        <v>646</v>
      </c>
      <c r="H10" s="904">
        <f>DATA!D11</f>
        <v>45962</v>
      </c>
      <c r="I10" s="800"/>
      <c r="J10" s="886">
        <v>45839</v>
      </c>
      <c r="K10" s="877">
        <f t="shared" si="16"/>
        <v>55520</v>
      </c>
      <c r="L10" s="800"/>
      <c r="M10" s="887">
        <f>INDEX($J$29:$K$40,ROWS(J36:K$40),1)</f>
        <v>45139</v>
      </c>
      <c r="N10" s="10" t="str">
        <f t="shared" si="9"/>
        <v/>
      </c>
      <c r="O10" s="888">
        <f>INDEX($J$29:$K$40,ROWS(J36:K$40),2)</f>
        <v>52600</v>
      </c>
      <c r="P10" s="10" t="str">
        <f t="shared" si="0"/>
        <v/>
      </c>
      <c r="Q10" s="888">
        <f t="shared" si="1"/>
        <v>51140</v>
      </c>
      <c r="R10" s="888">
        <f t="shared" si="10"/>
        <v>52600</v>
      </c>
      <c r="S10" s="800"/>
      <c r="T10" s="889">
        <f>DATA!G10</f>
        <v>45931</v>
      </c>
      <c r="U10" s="890">
        <f t="shared" si="17"/>
        <v>0.37309999999999999</v>
      </c>
      <c r="V10" s="890">
        <f t="shared" si="2"/>
        <v>0.37309999999999999</v>
      </c>
      <c r="W10" s="890">
        <f t="shared" si="11"/>
        <v>0.37309999999999999</v>
      </c>
      <c r="X10" s="891">
        <f>IFERROR(IF(OR(DATA!$D$43="",DATA!$D$43="NO CHANGE"),DATA!$C$43,IF(VALUE(DATA!$D$43)=VALUE(T10),(DATA!$C$43/DAY((EOMONTH(DATA!$D$43,0)))*(DATA!$E$45-1))+(DATA!$E$43/DAY((EOMONTH(DATA!$D$43,0)))*(DAY(EOMONTH(DATA!$D$43,0))-DATA!$E$45+1)),IF(VALUE(DATA!$D$43)&lt;VALUE(T10),DATA!$E$43,DATA!$C$43))),X9)</f>
        <v>0.1</v>
      </c>
      <c r="Y10" s="892">
        <f>IFERROR(IF(OR(DATA!$D$44="",DATA!$D$44="NO CHANGE"),DATA!$C$44,IF(VALUE(DATA!$D$44)=VALUE(T10),(DATA!$C$44/DAY((EOMONTH(DATA!$D$44,0)))*(DATA!$E$46-1))+(DATA!$E$44/DAY((EOMONTH(DATA!$D$44,0)))*(DAY(EOMONTH(DATA!$D$44,0))-DATA!$E$46+1)),IF(VALUE(DATA!$D$44)&lt;VALUE(T10),DATA!$E$44, DATA!$C$44))),Y9)</f>
        <v>0</v>
      </c>
      <c r="Z10" s="983">
        <f>IF(VALUE(T10)&gt;=VALUE($AB$3),DATA!$D$20,0)</f>
        <v>0</v>
      </c>
      <c r="AA10" s="800"/>
      <c r="AB10" s="887">
        <f>INDEX($J$29:$K$40,ROWS(X36:Y$40),1)</f>
        <v>45139</v>
      </c>
      <c r="AC10" s="906">
        <f t="shared" si="19"/>
        <v>1915</v>
      </c>
      <c r="AD10" s="906">
        <f t="shared" si="20"/>
        <v>191</v>
      </c>
      <c r="AE10" s="906">
        <f t="shared" si="21"/>
        <v>1724</v>
      </c>
      <c r="AF10" s="800"/>
      <c r="AG10" s="776"/>
      <c r="AH10" s="776"/>
      <c r="AI10" s="776"/>
      <c r="AJ10" s="800"/>
      <c r="AK10" s="776"/>
      <c r="AM10" s="72" t="s">
        <v>647</v>
      </c>
      <c r="AN10" s="800"/>
      <c r="AO10" s="83" t="str">
        <f>'ANNEXURE II'!D35</f>
        <v>PUBLIC PROVIDENT FUND</v>
      </c>
      <c r="AP10" s="894">
        <f>DATA!Q7</f>
        <v>0</v>
      </c>
      <c r="AR10" s="895">
        <f t="shared" si="12"/>
        <v>0</v>
      </c>
      <c r="AS10" s="895">
        <f t="shared" si="13"/>
        <v>0</v>
      </c>
      <c r="AT10" s="895">
        <f t="shared" si="13"/>
        <v>0</v>
      </c>
      <c r="AU10" s="895">
        <f t="shared" si="14"/>
        <v>0</v>
      </c>
      <c r="AV10" s="895">
        <f>IF(KEY!$AZ$29="NEW",0,AU10)</f>
        <v>0</v>
      </c>
      <c r="AW10" s="800"/>
      <c r="AX10" s="776"/>
      <c r="AY10" s="1663" t="s">
        <v>503</v>
      </c>
      <c r="AZ10" s="1663"/>
      <c r="BA10" s="1661" t="s">
        <v>648</v>
      </c>
      <c r="BB10" s="1661"/>
      <c r="BC10" s="367" t="s">
        <v>589</v>
      </c>
      <c r="BE10" s="1660" t="s">
        <v>500</v>
      </c>
      <c r="BF10" s="1660"/>
      <c r="BG10" s="1661" t="str">
        <f>BA10</f>
        <v>AGE &gt;60 &amp; &lt;=80</v>
      </c>
      <c r="BH10" s="1662"/>
      <c r="BI10" s="368" t="s">
        <v>589</v>
      </c>
      <c r="BK10" s="1660" t="s">
        <v>590</v>
      </c>
      <c r="BL10" s="1660"/>
      <c r="BM10" s="1661" t="str">
        <f>BG10</f>
        <v>AGE &gt;60 &amp; &lt;=80</v>
      </c>
      <c r="BN10" s="1662"/>
      <c r="BO10" s="368" t="s">
        <v>589</v>
      </c>
      <c r="BQ10" s="870"/>
      <c r="BR10" s="401" t="s">
        <v>649</v>
      </c>
      <c r="BS10" s="582">
        <f>ROUND(BS4-BS5-AU38,-1)</f>
        <v>903410</v>
      </c>
      <c r="BT10" s="870"/>
      <c r="BU10" s="871"/>
      <c r="BV10" s="870"/>
      <c r="BW10" s="870"/>
    </row>
    <row r="11" spans="1:75" ht="15.95" hidden="1" customHeight="1" x14ac:dyDescent="0.25">
      <c r="A11" s="800"/>
      <c r="B11" s="877">
        <v>23780</v>
      </c>
      <c r="C11" s="877">
        <f t="shared" si="15"/>
        <v>24500</v>
      </c>
      <c r="D11" s="882">
        <f t="shared" si="8"/>
        <v>25220</v>
      </c>
      <c r="E11" s="883">
        <v>25220</v>
      </c>
      <c r="F11" s="800"/>
      <c r="G11" s="5" t="s">
        <v>593</v>
      </c>
      <c r="H11" s="904">
        <f>IF(DATA!D12="N.A.",M42,IF(DATA!D12="",M42,DATE(YEAR(DATA!D12),MONTH(DATA!D12)+1,DAY(DATA!D12))))</f>
        <v>45383</v>
      </c>
      <c r="I11" s="800"/>
      <c r="J11" s="886">
        <v>45809</v>
      </c>
      <c r="K11" s="877">
        <f t="shared" si="16"/>
        <v>55520</v>
      </c>
      <c r="L11" s="800"/>
      <c r="M11" s="887">
        <f>INDEX($J$29:$K$40,ROWS(J37:K$40),1)</f>
        <v>45170</v>
      </c>
      <c r="N11" s="10" t="str">
        <f t="shared" si="9"/>
        <v/>
      </c>
      <c r="O11" s="888">
        <f>INDEX($J$29:$K$40,ROWS(J37:K$40),2)</f>
        <v>52600</v>
      </c>
      <c r="P11" s="10" t="str">
        <f t="shared" si="0"/>
        <v/>
      </c>
      <c r="Q11" s="888">
        <f t="shared" si="1"/>
        <v>51140</v>
      </c>
      <c r="R11" s="888">
        <f t="shared" si="10"/>
        <v>52600</v>
      </c>
      <c r="S11" s="800"/>
      <c r="T11" s="889">
        <f>DATA!G11</f>
        <v>45962</v>
      </c>
      <c r="U11" s="890">
        <f t="shared" si="17"/>
        <v>0.37309999999999999</v>
      </c>
      <c r="V11" s="890">
        <f t="shared" si="2"/>
        <v>0.37309999999999999</v>
      </c>
      <c r="W11" s="890">
        <f t="shared" si="11"/>
        <v>0.37309999999999999</v>
      </c>
      <c r="X11" s="891">
        <f>IFERROR(IF(OR(DATA!$D$43="",DATA!$D$43="NO CHANGE"),DATA!$C$43,IF(VALUE(DATA!$D$43)=VALUE(T11),(DATA!$C$43/DAY((EOMONTH(DATA!$D$43,0)))*(DATA!$E$45-1))+(DATA!$E$43/DAY((EOMONTH(DATA!$D$43,0)))*(DAY(EOMONTH(DATA!$D$43,0))-DATA!$E$45+1)),IF(VALUE(DATA!$D$43)&lt;VALUE(T11),DATA!$E$43,DATA!$C$43))),X10)</f>
        <v>0.1</v>
      </c>
      <c r="Y11" s="892">
        <f>IFERROR(IF(OR(DATA!$D$44="",DATA!$D$44="NO CHANGE"),DATA!$C$44,IF(VALUE(DATA!$D$44)=VALUE(T11),(DATA!$C$44/DAY((EOMONTH(DATA!$D$44,0)))*(DATA!$E$46-1))+(DATA!$E$44/DAY((EOMONTH(DATA!$D$44,0)))*(DAY(EOMONTH(DATA!$D$44,0))-DATA!$E$46+1)),IF(VALUE(DATA!$D$44)&lt;VALUE(T11),DATA!$E$44, DATA!$C$44))),Y10)</f>
        <v>0</v>
      </c>
      <c r="Z11" s="983">
        <f>IF(VALUE(T11)&gt;=VALUE($AB$3),DATA!$D$20,0)</f>
        <v>0</v>
      </c>
      <c r="AA11" s="800"/>
      <c r="AB11" s="887">
        <f>INDEX($J$29:$K$40,ROWS(X37:Y$40),1)</f>
        <v>45170</v>
      </c>
      <c r="AC11" s="906">
        <f t="shared" si="19"/>
        <v>1915</v>
      </c>
      <c r="AD11" s="906">
        <f t="shared" si="20"/>
        <v>191</v>
      </c>
      <c r="AE11" s="906">
        <f t="shared" si="21"/>
        <v>1724</v>
      </c>
      <c r="AF11" s="800"/>
      <c r="AG11" s="7"/>
      <c r="AH11" s="7"/>
      <c r="AI11" s="776"/>
      <c r="AJ11" s="800"/>
      <c r="AK11" s="776"/>
      <c r="AM11" s="72" t="s">
        <v>650</v>
      </c>
      <c r="AN11" s="800"/>
      <c r="AO11" s="83" t="str">
        <f>'ANNEXURE II'!D36</f>
        <v>TUTION FEE FOR CHILDREN</v>
      </c>
      <c r="AP11" s="894">
        <f>DATA!Q8</f>
        <v>0</v>
      </c>
      <c r="AR11" s="895">
        <f t="shared" si="12"/>
        <v>0</v>
      </c>
      <c r="AS11" s="895">
        <f t="shared" si="13"/>
        <v>0</v>
      </c>
      <c r="AT11" s="895">
        <f t="shared" si="13"/>
        <v>0</v>
      </c>
      <c r="AU11" s="895">
        <f t="shared" si="14"/>
        <v>0</v>
      </c>
      <c r="AV11" s="895">
        <f>IF(KEY!$AZ$29="NEW",0,AU11)</f>
        <v>0</v>
      </c>
      <c r="AW11" s="800"/>
      <c r="AX11" s="776"/>
      <c r="AY11" s="376" t="s">
        <v>651</v>
      </c>
      <c r="AZ11" s="360">
        <v>0</v>
      </c>
      <c r="BA11" s="359">
        <v>300000</v>
      </c>
      <c r="BB11" s="359">
        <f>ROUND(BA11*AZ11,0)</f>
        <v>0</v>
      </c>
      <c r="BC11" s="361">
        <f>IF(AND(KEY!$BS$11&gt;=5000000,KEY!$BS$11&lt;=10000000),5000000,IF(AND(KEY!$BS$11&gt;10000000,KEY!$BS$11&lt;=20000000),10000000,IF(AND(KEY!$BS$11&gt;20000000,KEY!$BS$11&lt;=50000000),20000000,IF(AND(KEY!$BS$11&gt;50000000),50000000,0))))</f>
        <v>0</v>
      </c>
      <c r="BE11" s="376" t="str">
        <f>BE2</f>
        <v>Rs.   000000 - Rs.  400000</v>
      </c>
      <c r="BF11" s="360">
        <f t="shared" ref="BF11:BI11" si="22">BF2</f>
        <v>0</v>
      </c>
      <c r="BG11" s="359">
        <f>BG2</f>
        <v>400000</v>
      </c>
      <c r="BH11" s="359">
        <f t="shared" si="22"/>
        <v>0</v>
      </c>
      <c r="BI11" s="361">
        <f t="shared" si="22"/>
        <v>0</v>
      </c>
      <c r="BK11" s="376" t="str">
        <f>IF($BM$36&lt;=$BN$36,AY11,BE11)</f>
        <v>Rs.   000000 - Rs.  400000</v>
      </c>
      <c r="BL11" s="360">
        <f>IF($BM$36&lt;=$BN$36,AZ11,BF11)</f>
        <v>0</v>
      </c>
      <c r="BM11" s="359">
        <f>IF($BM$36&lt;=$BN$36,BA11,BG11)</f>
        <v>400000</v>
      </c>
      <c r="BN11" s="359">
        <f>IF($BM$36&lt;=$BN$36,BB11,BH11)</f>
        <v>0</v>
      </c>
      <c r="BO11" s="361">
        <f>IF(KEY!$BB$8&lt;=KEY!$BH$9,BC11,BI11)</f>
        <v>0</v>
      </c>
      <c r="BQ11" s="870"/>
      <c r="BR11" s="401" t="s">
        <v>652</v>
      </c>
      <c r="BS11" s="583">
        <f>ROUND(MAX(0,BS4-BS5-BS6),-1)</f>
        <v>792840</v>
      </c>
      <c r="BT11" s="870"/>
      <c r="BU11" s="871"/>
      <c r="BV11" s="870"/>
      <c r="BW11" s="870"/>
    </row>
    <row r="12" spans="1:75" ht="15.95" hidden="1" customHeight="1" x14ac:dyDescent="0.25">
      <c r="A12" s="800"/>
      <c r="B12" s="877">
        <v>24500</v>
      </c>
      <c r="C12" s="877">
        <f t="shared" si="15"/>
        <v>25220</v>
      </c>
      <c r="D12" s="882">
        <f t="shared" si="8"/>
        <v>25940</v>
      </c>
      <c r="E12" s="883">
        <v>25940</v>
      </c>
      <c r="F12" s="800"/>
      <c r="G12" s="907">
        <f>G3</f>
        <v>45717</v>
      </c>
      <c r="H12" s="878">
        <f>IF(DATA!D3="",C7,DATA!D3)</f>
        <v>57100</v>
      </c>
      <c r="I12" s="800"/>
      <c r="J12" s="886">
        <v>45778</v>
      </c>
      <c r="K12" s="877">
        <f t="shared" si="16"/>
        <v>55520</v>
      </c>
      <c r="L12" s="800"/>
      <c r="M12" s="887">
        <f>INDEX($J$29:$K$40,ROWS(J38:K$40),1)</f>
        <v>45200</v>
      </c>
      <c r="N12" s="10" t="str">
        <f t="shared" si="9"/>
        <v/>
      </c>
      <c r="O12" s="888">
        <f>INDEX($J$29:$K$40,ROWS(J38:K$40),2)</f>
        <v>52600</v>
      </c>
      <c r="P12" s="10" t="str">
        <f t="shared" si="0"/>
        <v/>
      </c>
      <c r="Q12" s="888">
        <f t="shared" si="1"/>
        <v>51140</v>
      </c>
      <c r="R12" s="888">
        <f t="shared" si="10"/>
        <v>52600</v>
      </c>
      <c r="S12" s="800"/>
      <c r="T12" s="889">
        <f>DATA!G12</f>
        <v>45992</v>
      </c>
      <c r="U12" s="890">
        <f t="shared" si="17"/>
        <v>0.37309999999999999</v>
      </c>
      <c r="V12" s="890">
        <f t="shared" si="2"/>
        <v>0.37309999999999999</v>
      </c>
      <c r="W12" s="890">
        <f t="shared" si="11"/>
        <v>0.37309999999999999</v>
      </c>
      <c r="X12" s="891">
        <f>IFERROR(IF(OR(DATA!$D$43="",DATA!$D$43="NO CHANGE"),DATA!$C$43,IF(VALUE(DATA!$D$43)=VALUE(T12),(DATA!$C$43/DAY((EOMONTH(DATA!$D$43,0)))*(DATA!$E$45-1))+(DATA!$E$43/DAY((EOMONTH(DATA!$D$43,0)))*(DAY(EOMONTH(DATA!$D$43,0))-DATA!$E$45+1)),IF(VALUE(DATA!$D$43)&lt;VALUE(T12),DATA!$E$43,DATA!$C$43))),X11)</f>
        <v>0.1</v>
      </c>
      <c r="Y12" s="892">
        <f>IFERROR(IF(OR(DATA!$D$44="",DATA!$D$44="NO CHANGE"),DATA!$C$44,IF(VALUE(DATA!$D$44)=VALUE(T12),(DATA!$C$44/DAY((EOMONTH(DATA!$D$44,0)))*(DATA!$E$46-1))+(DATA!$E$44/DAY((EOMONTH(DATA!$D$44,0)))*(DAY(EOMONTH(DATA!$D$44,0))-DATA!$E$46+1)),IF(VALUE(DATA!$D$44)&lt;VALUE(T12),DATA!$E$44, DATA!$C$44))),Y11)</f>
        <v>0</v>
      </c>
      <c r="Z12" s="983">
        <f>IF(VALUE(T12)&gt;=VALUE($AB$3),DATA!$D$20,0)</f>
        <v>0</v>
      </c>
      <c r="AA12" s="800"/>
      <c r="AB12" s="887">
        <f>INDEX($J$29:$K$40,ROWS(X38:Y$40),1)</f>
        <v>45200</v>
      </c>
      <c r="AC12" s="906">
        <f t="shared" si="19"/>
        <v>1915</v>
      </c>
      <c r="AD12" s="906">
        <f>IF(AC12=0,0,ROUND((R12*$AE$5*10%)-(R12*$AE$4*10%),0))</f>
        <v>191</v>
      </c>
      <c r="AE12" s="906">
        <f t="shared" si="21"/>
        <v>1724</v>
      </c>
      <c r="AF12" s="800"/>
      <c r="AG12" s="908"/>
      <c r="AH12" s="7"/>
      <c r="AI12" s="909"/>
      <c r="AJ12" s="800"/>
      <c r="AK12" s="776"/>
      <c r="AM12" s="72" t="s">
        <v>653</v>
      </c>
      <c r="AN12" s="800"/>
      <c r="AO12" s="83" t="str">
        <f>'ANNEXURE II'!D37</f>
        <v>HOME LOAN PRINCIPLE AMOUNT</v>
      </c>
      <c r="AP12" s="894">
        <f>DATA!Q9</f>
        <v>0</v>
      </c>
      <c r="AR12" s="895">
        <f t="shared" si="12"/>
        <v>0</v>
      </c>
      <c r="AS12" s="895">
        <f t="shared" si="13"/>
        <v>0</v>
      </c>
      <c r="AT12" s="895">
        <f t="shared" si="13"/>
        <v>0</v>
      </c>
      <c r="AU12" s="895">
        <f t="shared" si="14"/>
        <v>0</v>
      </c>
      <c r="AV12" s="895">
        <f>IF(KEY!$AZ$29="NEW",0,AU12)</f>
        <v>0</v>
      </c>
      <c r="AW12" s="800"/>
      <c r="AX12" s="776"/>
      <c r="AY12" s="376" t="s">
        <v>654</v>
      </c>
      <c r="AZ12" s="360">
        <v>0.05</v>
      </c>
      <c r="BA12" s="359">
        <f>MIN(MAX(KEY!$BS$11-BA11,0),200000)</f>
        <v>200000</v>
      </c>
      <c r="BB12" s="359">
        <f>ROUND(BA12*AZ12,0)</f>
        <v>10000</v>
      </c>
      <c r="BC12" s="361">
        <f>MAX(0,IF(AND(BC11&lt;=300000),0,  IF(AND(BC11&gt;300000,AND(BC11&lt;=500000)),ROUND((BC11-250000)*5%,0),  IF(AND(BC11&gt;500000,AND(BC11&lt;=1000000)),ROUND(10000+(BC11-500000)*20%,0),  IF(AND(BC11&gt;1000000),ROUND(110000+(BC11-1000000)*30%,0),0)))))</f>
        <v>0</v>
      </c>
      <c r="BE12" s="376" t="str">
        <f t="shared" ref="BE12:BI17" si="23">BE3</f>
        <v>Rs.   400001 - Rs.  800000</v>
      </c>
      <c r="BF12" s="360">
        <f t="shared" si="23"/>
        <v>0.05</v>
      </c>
      <c r="BG12" s="359">
        <f t="shared" si="23"/>
        <v>400000</v>
      </c>
      <c r="BH12" s="359">
        <f t="shared" si="23"/>
        <v>20000</v>
      </c>
      <c r="BI12" s="361">
        <f t="shared" si="23"/>
        <v>0</v>
      </c>
      <c r="BK12" s="376" t="str">
        <f t="shared" ref="BK12:BK17" si="24">IF($BM$36&lt;=$BN$36,AY12,BE12)</f>
        <v>Rs.   400001 - Rs.  800000</v>
      </c>
      <c r="BL12" s="360">
        <f t="shared" ref="BL12:BM17" si="25">IF($BM$36&lt;=$BN$36,AZ12,BF12)</f>
        <v>0.05</v>
      </c>
      <c r="BM12" s="359">
        <f t="shared" si="25"/>
        <v>400000</v>
      </c>
      <c r="BN12" s="359">
        <f>IF($BM$36&lt;=$BN$36,BB12,BH12)</f>
        <v>20000</v>
      </c>
      <c r="BO12" s="361">
        <f>IF(KEY!$BB$8&lt;=KEY!$BH$9,BC12,BI12)</f>
        <v>0</v>
      </c>
      <c r="BQ12" s="870"/>
      <c r="BR12" s="870"/>
      <c r="BS12" s="870"/>
      <c r="BT12" s="870"/>
      <c r="BU12" s="871"/>
      <c r="BV12" s="870"/>
      <c r="BW12" s="870"/>
    </row>
    <row r="13" spans="1:75" ht="15.95" hidden="1" customHeight="1" x14ac:dyDescent="0.25">
      <c r="A13" s="800"/>
      <c r="B13" s="877">
        <v>25220</v>
      </c>
      <c r="C13" s="877">
        <f t="shared" si="15"/>
        <v>25940</v>
      </c>
      <c r="D13" s="882">
        <f t="shared" si="8"/>
        <v>26720</v>
      </c>
      <c r="E13" s="883">
        <v>26720</v>
      </c>
      <c r="F13" s="800"/>
      <c r="G13" s="776"/>
      <c r="H13" s="776"/>
      <c r="I13" s="800"/>
      <c r="J13" s="886">
        <v>45748</v>
      </c>
      <c r="K13" s="877">
        <f t="shared" si="16"/>
        <v>55520</v>
      </c>
      <c r="L13" s="800"/>
      <c r="M13" s="887">
        <f>INDEX($J$29:$K$40,ROWS(J39:K$40),1)</f>
        <v>45231</v>
      </c>
      <c r="N13" s="10" t="str">
        <f t="shared" si="9"/>
        <v>INC 1</v>
      </c>
      <c r="O13" s="888">
        <f>INDEX($J$29:$K$40,ROWS(J39:K$40),2)</f>
        <v>54060</v>
      </c>
      <c r="P13" s="10" t="str">
        <f t="shared" si="0"/>
        <v/>
      </c>
      <c r="Q13" s="888">
        <f t="shared" si="1"/>
        <v>52600</v>
      </c>
      <c r="R13" s="888">
        <f t="shared" si="10"/>
        <v>54060</v>
      </c>
      <c r="S13" s="800"/>
      <c r="T13" s="889">
        <f>DATA!G13</f>
        <v>46023</v>
      </c>
      <c r="U13" s="890">
        <f>IF(VALUE(T13)&gt;=VALUE($AD$5),$AE$5,$AE$4)</f>
        <v>0.37309999999999999</v>
      </c>
      <c r="V13" s="890">
        <f t="shared" si="2"/>
        <v>0.37309999999999999</v>
      </c>
      <c r="W13" s="890">
        <f>IF(V13&lt;U13,V13,MAX(U13,V13))</f>
        <v>0.37309999999999999</v>
      </c>
      <c r="X13" s="891">
        <f>IFERROR(IF(OR(DATA!$D$43="",DATA!$D$43="NO CHANGE"),DATA!$C$43,IF(VALUE(DATA!$D$43)=VALUE(T13),(DATA!$C$43/DAY((EOMONTH(DATA!$D$43,0)))*(DATA!$E$45-1))+(DATA!$E$43/DAY((EOMONTH(DATA!$D$43,0)))*(DAY(EOMONTH(DATA!$D$43,0))-DATA!$E$45+1)),IF(VALUE(DATA!$D$43)&lt;VALUE(T13),DATA!$E$43,DATA!$C$43))),X12)</f>
        <v>0.1</v>
      </c>
      <c r="Y13" s="892">
        <f>IFERROR(IF(OR(DATA!$D$44="",DATA!$D$44="NO CHANGE"),DATA!$C$44,IF(VALUE(DATA!$D$44)=VALUE(T13),(DATA!$C$44/DAY((EOMONTH(DATA!$D$44,0)))*(DATA!$E$46-1))+(DATA!$E$44/DAY((EOMONTH(DATA!$D$44,0)))*(DAY(EOMONTH(DATA!$D$44,0))-DATA!$E$46+1)),IF(VALUE(DATA!$D$44)&lt;VALUE(T13),DATA!$E$44, DATA!$C$44))),Y12)</f>
        <v>0</v>
      </c>
      <c r="Z13" s="983">
        <f>IF(VALUE(T13)&gt;=VALUE($AB$3),DATA!$D$20,0)</f>
        <v>0</v>
      </c>
      <c r="AA13" s="800"/>
      <c r="AB13" s="887">
        <f>INDEX($J$29:$K$40,ROWS(X39:Y$40),1)</f>
        <v>45231</v>
      </c>
      <c r="AC13" s="906">
        <f t="shared" si="19"/>
        <v>1968</v>
      </c>
      <c r="AD13" s="906">
        <f t="shared" ref="AD13:AD28" si="26">IF(AC13=0,0,ROUND((R13*$AE$5*10%)-(R13*$AE$4*10%),0))</f>
        <v>197</v>
      </c>
      <c r="AE13" s="906">
        <f t="shared" si="21"/>
        <v>1771</v>
      </c>
      <c r="AF13" s="800"/>
      <c r="AG13" s="1667" t="s">
        <v>655</v>
      </c>
      <c r="AH13" s="1668"/>
      <c r="AI13" s="1669"/>
      <c r="AJ13" s="800"/>
      <c r="AK13" s="776"/>
      <c r="AM13" s="72" t="s">
        <v>656</v>
      </c>
      <c r="AN13" s="800"/>
      <c r="AO13" s="83" t="str">
        <f>'ANNEXURE II'!D38</f>
        <v xml:space="preserve">STAMP DUTY &amp; REGISTRATION </v>
      </c>
      <c r="AP13" s="894">
        <f>DATA!Q10</f>
        <v>0</v>
      </c>
      <c r="AR13" s="895">
        <f t="shared" si="12"/>
        <v>0</v>
      </c>
      <c r="AS13" s="895">
        <f t="shared" si="13"/>
        <v>0</v>
      </c>
      <c r="AT13" s="895">
        <f t="shared" si="13"/>
        <v>0</v>
      </c>
      <c r="AU13" s="895">
        <f t="shared" si="14"/>
        <v>0</v>
      </c>
      <c r="AV13" s="895">
        <f>IF(KEY!$AZ$29="NEW",0,AU13)</f>
        <v>0</v>
      </c>
      <c r="AW13" s="800"/>
      <c r="AX13" s="776"/>
      <c r="AY13" s="376" t="s">
        <v>625</v>
      </c>
      <c r="AZ13" s="360">
        <v>0.2</v>
      </c>
      <c r="BA13" s="359">
        <f>MIN(MAX(KEY!$BS$11-(BA11+BA12),0),500000)</f>
        <v>292840</v>
      </c>
      <c r="BB13" s="359">
        <f>ROUND(BA13*AZ13,0)</f>
        <v>58568</v>
      </c>
      <c r="BC13" s="361">
        <f>IF(AND(BC11&gt;5000000,BC11&lt;=10000000),ROUND(BC12*10%,0),IF(AND(BC11&gt;10000000,BC11&lt;=20000000),ROUND(BC12*15%,0),IF(AND(BC11&gt;20000000,BC11&lt;=50000000),ROUND(BC12*25%,0),IF(AND(BC11&gt;5000000),ROUND(BC12*37%,0),0))))</f>
        <v>0</v>
      </c>
      <c r="BE13" s="376" t="str">
        <f t="shared" si="23"/>
        <v>Rs.   800001 - Rs. 1200000</v>
      </c>
      <c r="BF13" s="360">
        <f t="shared" si="23"/>
        <v>0.1</v>
      </c>
      <c r="BG13" s="359">
        <f t="shared" si="23"/>
        <v>103410</v>
      </c>
      <c r="BH13" s="359">
        <f t="shared" si="23"/>
        <v>10341</v>
      </c>
      <c r="BI13" s="361">
        <f t="shared" si="23"/>
        <v>0</v>
      </c>
      <c r="BK13" s="376" t="str">
        <f t="shared" si="24"/>
        <v>Rs.   800001 - Rs. 1200000</v>
      </c>
      <c r="BL13" s="360">
        <f t="shared" si="25"/>
        <v>0.1</v>
      </c>
      <c r="BM13" s="359">
        <f t="shared" si="25"/>
        <v>103410</v>
      </c>
      <c r="BN13" s="359">
        <f t="shared" ref="BN13:BN17" si="27">IF($BM$36&lt;=$BN$36,BB13,BH13)</f>
        <v>10341</v>
      </c>
      <c r="BO13" s="361">
        <f>IF(KEY!$BB$8&lt;=KEY!$BH$9,BC13,BI13)</f>
        <v>0</v>
      </c>
      <c r="BQ13" s="870"/>
      <c r="BR13" s="870"/>
      <c r="BS13" s="910">
        <f>ROUND(BS4-BS5-AU38,-1)</f>
        <v>903410</v>
      </c>
      <c r="BT13" s="870"/>
      <c r="BU13" s="871"/>
      <c r="BV13" s="870"/>
      <c r="BW13" s="870"/>
    </row>
    <row r="14" spans="1:75" ht="15.95" hidden="1" customHeight="1" x14ac:dyDescent="0.25">
      <c r="A14" s="800"/>
      <c r="B14" s="877">
        <v>25940</v>
      </c>
      <c r="C14" s="877">
        <f t="shared" si="15"/>
        <v>26720</v>
      </c>
      <c r="D14" s="882">
        <f t="shared" si="8"/>
        <v>27500</v>
      </c>
      <c r="E14" s="883">
        <v>27500</v>
      </c>
      <c r="F14" s="800"/>
      <c r="G14" s="776"/>
      <c r="H14" s="776"/>
      <c r="I14" s="800"/>
      <c r="J14" s="886">
        <v>45717</v>
      </c>
      <c r="K14" s="877">
        <f t="shared" si="16"/>
        <v>55520</v>
      </c>
      <c r="L14" s="800"/>
      <c r="M14" s="887">
        <f>INDEX($J$29:$K$40,ROWS(J40:K$40),1)</f>
        <v>45261</v>
      </c>
      <c r="N14" s="10" t="str">
        <f t="shared" si="9"/>
        <v/>
      </c>
      <c r="O14" s="888">
        <f>INDEX($J$29:$K$40,ROWS(J40:K$40),2)</f>
        <v>54060</v>
      </c>
      <c r="P14" s="10" t="str">
        <f t="shared" si="0"/>
        <v/>
      </c>
      <c r="Q14" s="888">
        <f t="shared" si="1"/>
        <v>52600</v>
      </c>
      <c r="R14" s="888">
        <f t="shared" si="10"/>
        <v>54060</v>
      </c>
      <c r="S14" s="800"/>
      <c r="T14" s="889">
        <f>DATA!G14</f>
        <v>46054</v>
      </c>
      <c r="U14" s="890">
        <f t="shared" si="17"/>
        <v>0.37309999999999999</v>
      </c>
      <c r="V14" s="890">
        <f t="shared" si="2"/>
        <v>0.37309999999999999</v>
      </c>
      <c r="W14" s="890">
        <f>IF(V14&lt;U14,V14,MAX(U14,V14))</f>
        <v>0.37309999999999999</v>
      </c>
      <c r="X14" s="891">
        <f>IFERROR(IF(OR(DATA!$D$43="",DATA!$D$43="NO CHANGE"),DATA!$C$43,IF(VALUE(DATA!$D$43)=VALUE(T14),(DATA!$C$43/DAY((EOMONTH(DATA!$D$43,0)))*(DATA!$E$45-1))+(DATA!$E$43/DAY((EOMONTH(DATA!$D$43,0)))*(DAY(EOMONTH(DATA!$D$43,0))-DATA!$E$45+1)),IF(VALUE(DATA!$D$43)&lt;VALUE(T14),DATA!$E$43,DATA!$C$43))),X13)</f>
        <v>0.1</v>
      </c>
      <c r="Y14" s="892">
        <f>IFERROR(IF(OR(DATA!$D$44="",DATA!$D$44="NO CHANGE"),DATA!$C$44,IF(VALUE(DATA!$D$44)=VALUE(T14),(DATA!$C$44/DAY((EOMONTH(DATA!$D$44,0)))*(DATA!$E$46-1))+(DATA!$E$44/DAY((EOMONTH(DATA!$D$44,0)))*(DAY(EOMONTH(DATA!$D$44,0))-DATA!$E$46+1)),IF(VALUE(DATA!$D$44)&lt;VALUE(T14),DATA!$E$44, DATA!$C$44))),Y13)</f>
        <v>0</v>
      </c>
      <c r="Z14" s="983">
        <f>IF(VALUE(T14)&gt;=VALUE($AB$3),DATA!$D$20,0)</f>
        <v>0</v>
      </c>
      <c r="AA14" s="800"/>
      <c r="AB14" s="887">
        <f>INDEX($J$29:$K$40,ROWS(X40:Y$40),1)</f>
        <v>45261</v>
      </c>
      <c r="AC14" s="906">
        <f t="shared" si="19"/>
        <v>1968</v>
      </c>
      <c r="AD14" s="906">
        <f t="shared" si="26"/>
        <v>197</v>
      </c>
      <c r="AE14" s="906">
        <f t="shared" si="21"/>
        <v>1771</v>
      </c>
      <c r="AF14" s="800"/>
      <c r="AG14" s="13">
        <v>1</v>
      </c>
      <c r="AH14" s="13" t="s">
        <v>11</v>
      </c>
      <c r="AI14" s="14" t="s">
        <v>641</v>
      </c>
      <c r="AJ14" s="800"/>
      <c r="AK14" s="776"/>
      <c r="AM14" s="72" t="s">
        <v>657</v>
      </c>
      <c r="AN14" s="800"/>
      <c r="AO14" s="83" t="str">
        <f>'ANNEXURE II'!D39</f>
        <v>HDFC LIFE INSURANCE</v>
      </c>
      <c r="AP14" s="894">
        <f>DATA!Q11</f>
        <v>0</v>
      </c>
      <c r="AR14" s="895">
        <f t="shared" si="12"/>
        <v>0</v>
      </c>
      <c r="AS14" s="895">
        <f t="shared" si="13"/>
        <v>0</v>
      </c>
      <c r="AT14" s="895">
        <f t="shared" si="13"/>
        <v>0</v>
      </c>
      <c r="AU14" s="895">
        <f t="shared" si="14"/>
        <v>0</v>
      </c>
      <c r="AV14" s="895">
        <f>IF(KEY!$AZ$29="NEW",0,AU14)</f>
        <v>0</v>
      </c>
      <c r="AW14" s="800"/>
      <c r="AX14" s="776"/>
      <c r="AY14" s="376" t="s">
        <v>628</v>
      </c>
      <c r="AZ14" s="360">
        <v>0.3</v>
      </c>
      <c r="BA14" s="359">
        <f>MIN(MAX(KEY!$BS$11-(BA11+BA12+BA13),0))</f>
        <v>0</v>
      </c>
      <c r="BB14" s="359">
        <f>ROUND(BA14*AZ14,0)</f>
        <v>0</v>
      </c>
      <c r="BC14" s="361" t="b">
        <f>IF(AND(BA17&gt;5000000,BA17&lt;=10000000),ROUND(BB17*10%,0),
IF(AND(BA17&gt;10000000,BA17&lt;=20000000),ROUND(BB17*15%,0),
IF(AND(BA17&gt;20000000,BA17&lt;=50000000),ROUND(BB17*25%,0),
IF(AND(BA17&gt;5000000),ROUND(BB17*37%,0)))))</f>
        <v>0</v>
      </c>
      <c r="BE14" s="376" t="str">
        <f t="shared" si="23"/>
        <v>Rs. 1200001 - Rs.1600000</v>
      </c>
      <c r="BF14" s="360">
        <f t="shared" si="23"/>
        <v>0.15</v>
      </c>
      <c r="BG14" s="359">
        <f t="shared" si="23"/>
        <v>0</v>
      </c>
      <c r="BH14" s="359">
        <f t="shared" si="23"/>
        <v>0</v>
      </c>
      <c r="BI14" s="361">
        <f t="shared" si="23"/>
        <v>0</v>
      </c>
      <c r="BK14" s="376" t="str">
        <f t="shared" si="24"/>
        <v>Rs. 1200001 - Rs.1600000</v>
      </c>
      <c r="BL14" s="360">
        <f t="shared" si="25"/>
        <v>0.15</v>
      </c>
      <c r="BM14" s="359">
        <f t="shared" si="25"/>
        <v>0</v>
      </c>
      <c r="BN14" s="359">
        <f t="shared" si="27"/>
        <v>0</v>
      </c>
      <c r="BO14" s="361">
        <f>IF(KEY!$BB$8&lt;=KEY!$BH$9,BC14,BI14)</f>
        <v>0</v>
      </c>
      <c r="BQ14" s="870"/>
      <c r="BR14" s="870"/>
      <c r="BS14" s="870"/>
      <c r="BT14" s="870"/>
      <c r="BU14" s="871"/>
      <c r="BV14" s="870"/>
      <c r="BW14" s="870"/>
    </row>
    <row r="15" spans="1:75" ht="15.95" hidden="1" customHeight="1" x14ac:dyDescent="0.25">
      <c r="A15" s="800"/>
      <c r="B15" s="877">
        <v>26720</v>
      </c>
      <c r="C15" s="877">
        <f t="shared" si="15"/>
        <v>27500</v>
      </c>
      <c r="D15" s="882">
        <f t="shared" si="8"/>
        <v>28280</v>
      </c>
      <c r="E15" s="883">
        <v>28280</v>
      </c>
      <c r="F15" s="800"/>
      <c r="G15" s="776"/>
      <c r="H15" s="776"/>
      <c r="I15" s="800"/>
      <c r="J15" s="886">
        <v>45689</v>
      </c>
      <c r="K15" s="877">
        <f t="shared" si="16"/>
        <v>55520</v>
      </c>
      <c r="L15" s="800"/>
      <c r="M15" s="887">
        <f>INDEX($J$17:$K$28,ROWS(J17:K$28),1)</f>
        <v>45292</v>
      </c>
      <c r="N15" s="10" t="str">
        <f>IF(VALUE($H$9)=VALUE(M15),$G$9, "")</f>
        <v/>
      </c>
      <c r="O15" s="888">
        <f>INDEX($J$17:$K$28,ROWS(J17:K$28),2)</f>
        <v>54060</v>
      </c>
      <c r="P15" s="10" t="str">
        <f t="shared" si="0"/>
        <v/>
      </c>
      <c r="Q15" s="888">
        <f t="shared" si="1"/>
        <v>52600</v>
      </c>
      <c r="R15" s="888">
        <f t="shared" si="10"/>
        <v>54060</v>
      </c>
      <c r="S15" s="800"/>
      <c r="T15" s="853"/>
      <c r="U15" s="853"/>
      <c r="V15" s="853"/>
      <c r="W15" s="853"/>
      <c r="X15" s="853"/>
      <c r="Y15" s="778"/>
      <c r="Z15" s="778"/>
      <c r="AA15" s="800"/>
      <c r="AB15" s="887">
        <f>INDEX($J$17:$K$28,ROWS(X17:Y$28),1)</f>
        <v>45292</v>
      </c>
      <c r="AC15" s="906">
        <f t="shared" si="19"/>
        <v>1968</v>
      </c>
      <c r="AD15" s="906">
        <f t="shared" si="26"/>
        <v>197</v>
      </c>
      <c r="AE15" s="906">
        <f t="shared" si="21"/>
        <v>1771</v>
      </c>
      <c r="AF15" s="800"/>
      <c r="AG15" s="906">
        <f t="shared" ref="AG15:AG39" si="28">IF($AI$2&lt;M15, 0, ROUND(R15*$AI$5*100%,0) - ROUND(R15*$AI$4*100%,0))</f>
        <v>1476</v>
      </c>
      <c r="AH15" s="906">
        <f>IF(AG15=0,0,ROUND(R15*$AI$5*10%,0) - ROUND(R15*$AI$4*10%,0))</f>
        <v>148</v>
      </c>
      <c r="AI15" s="906">
        <f t="shared" ref="AI15:AI36" si="29">AG15-AH15</f>
        <v>1328</v>
      </c>
      <c r="AJ15" s="800"/>
      <c r="AK15" s="776"/>
      <c r="AM15" s="72" t="s">
        <v>33</v>
      </c>
      <c r="AN15" s="800"/>
      <c r="AO15" s="83" t="str">
        <f>'ANNEXURE II'!D40</f>
        <v>OTHERS_________________</v>
      </c>
      <c r="AP15" s="894">
        <f>DATA!Q12</f>
        <v>0</v>
      </c>
      <c r="AR15" s="895">
        <f t="shared" si="12"/>
        <v>0</v>
      </c>
      <c r="AS15" s="895">
        <f t="shared" si="13"/>
        <v>0</v>
      </c>
      <c r="AT15" s="895">
        <f t="shared" si="13"/>
        <v>0</v>
      </c>
      <c r="AU15" s="895">
        <f t="shared" si="14"/>
        <v>0</v>
      </c>
      <c r="AV15" s="895">
        <f>IF(KEY!$AZ$29="NEW",0,AU15)</f>
        <v>0</v>
      </c>
      <c r="AW15" s="800"/>
      <c r="AX15" s="776"/>
      <c r="AY15" s="376" t="s">
        <v>632</v>
      </c>
      <c r="AZ15" s="360" t="s">
        <v>632</v>
      </c>
      <c r="BA15" s="359">
        <v>0</v>
      </c>
      <c r="BB15" s="359">
        <v>0</v>
      </c>
      <c r="BC15" s="382">
        <f>MAX(0,(BB17+BC14)-(BC13+BC12)-($BS$11-BC11))</f>
        <v>0</v>
      </c>
      <c r="BE15" s="376" t="str">
        <f t="shared" si="23"/>
        <v>Rs.1600001 - Rs.2000000</v>
      </c>
      <c r="BF15" s="360">
        <f t="shared" si="23"/>
        <v>0.2</v>
      </c>
      <c r="BG15" s="359">
        <f t="shared" si="23"/>
        <v>0</v>
      </c>
      <c r="BH15" s="359">
        <f t="shared" si="23"/>
        <v>0</v>
      </c>
      <c r="BI15" s="364">
        <f t="shared" si="23"/>
        <v>0</v>
      </c>
      <c r="BK15" s="376" t="str">
        <f t="shared" si="24"/>
        <v>Rs.1600001 - Rs.2000000</v>
      </c>
      <c r="BL15" s="360">
        <f t="shared" si="25"/>
        <v>0.2</v>
      </c>
      <c r="BM15" s="359">
        <f t="shared" si="25"/>
        <v>0</v>
      </c>
      <c r="BN15" s="359">
        <f t="shared" si="27"/>
        <v>0</v>
      </c>
      <c r="BO15" s="364">
        <f>IF(KEY!$BB$8&lt;=KEY!$BH$9,BC15,BI15)</f>
        <v>0</v>
      </c>
      <c r="BQ15" s="870"/>
      <c r="BR15" s="870"/>
      <c r="BS15" s="870"/>
      <c r="BT15" s="870"/>
      <c r="BU15" s="871"/>
      <c r="BV15" s="870"/>
      <c r="BW15" s="870"/>
    </row>
    <row r="16" spans="1:75" ht="15.95" hidden="1" customHeight="1" x14ac:dyDescent="0.25">
      <c r="A16" s="800"/>
      <c r="B16" s="877">
        <v>27500</v>
      </c>
      <c r="C16" s="877">
        <f t="shared" si="15"/>
        <v>28280</v>
      </c>
      <c r="D16" s="882">
        <f t="shared" si="8"/>
        <v>29130</v>
      </c>
      <c r="E16" s="883">
        <v>29130</v>
      </c>
      <c r="F16" s="800"/>
      <c r="G16" s="776"/>
      <c r="H16" s="776"/>
      <c r="I16" s="800"/>
      <c r="J16" s="886">
        <v>45658</v>
      </c>
      <c r="K16" s="877">
        <f t="shared" si="16"/>
        <v>55520</v>
      </c>
      <c r="L16" s="800"/>
      <c r="M16" s="887">
        <f>INDEX($J$17:$K$28,ROWS(J18:K$28),1)</f>
        <v>45323</v>
      </c>
      <c r="N16" s="10" t="str">
        <f t="shared" ref="N16:N26" si="30">IF(VALUE($H$9)=VALUE(M16),$G$9, "")</f>
        <v/>
      </c>
      <c r="O16" s="888">
        <f>INDEX($J$17:$K$28,ROWS(J18:K$28),2)</f>
        <v>54060</v>
      </c>
      <c r="P16" s="10" t="str">
        <f t="shared" si="0"/>
        <v/>
      </c>
      <c r="Q16" s="888">
        <f t="shared" si="1"/>
        <v>52600</v>
      </c>
      <c r="R16" s="888">
        <f t="shared" si="10"/>
        <v>54060</v>
      </c>
      <c r="S16" s="800"/>
      <c r="T16" s="70" t="s">
        <v>658</v>
      </c>
      <c r="U16" s="70"/>
      <c r="V16" s="251"/>
      <c r="W16" s="71"/>
      <c r="X16" s="1664"/>
      <c r="Y16" s="1664"/>
      <c r="Z16" s="975"/>
      <c r="AA16" s="800"/>
      <c r="AB16" s="887">
        <f>INDEX($J$17:$K$28,ROWS(X18:Y$28),1)</f>
        <v>45323</v>
      </c>
      <c r="AC16" s="906">
        <f t="shared" si="19"/>
        <v>1968</v>
      </c>
      <c r="AD16" s="906">
        <f t="shared" si="26"/>
        <v>197</v>
      </c>
      <c r="AE16" s="906">
        <f t="shared" si="21"/>
        <v>1771</v>
      </c>
      <c r="AF16" s="800"/>
      <c r="AG16" s="906">
        <f t="shared" si="28"/>
        <v>1476</v>
      </c>
      <c r="AH16" s="906">
        <f t="shared" ref="AH16:AH39" si="31">IF(AG16=0,0,ROUND(R16*$AI$5*10%,0) - ROUND(R16*$AI$4*10%,0))</f>
        <v>148</v>
      </c>
      <c r="AI16" s="906">
        <f t="shared" si="29"/>
        <v>1328</v>
      </c>
      <c r="AJ16" s="800"/>
      <c r="AK16" s="776"/>
      <c r="AM16" s="72" t="s">
        <v>659</v>
      </c>
      <c r="AN16" s="800"/>
      <c r="AO16" s="83" t="s">
        <v>660</v>
      </c>
      <c r="AP16" s="895">
        <f>SUM(AP3:AP15)</f>
        <v>121651</v>
      </c>
      <c r="AR16" s="895">
        <f>SUM(AR3:AR15)</f>
        <v>121651</v>
      </c>
      <c r="AS16" s="895">
        <f>SUM(AS3:AS15)</f>
        <v>121651</v>
      </c>
      <c r="AT16" s="895">
        <f>AS16</f>
        <v>121651</v>
      </c>
      <c r="AU16" s="895">
        <f>MIN(150000,AT16)</f>
        <v>121651</v>
      </c>
      <c r="AV16" s="895">
        <f>IF(KEY!$AZ$29="NEW",0,AU16)</f>
        <v>0</v>
      </c>
      <c r="AW16" s="800"/>
      <c r="AX16" s="776"/>
      <c r="AY16" s="376" t="s">
        <v>632</v>
      </c>
      <c r="AZ16" s="360" t="s">
        <v>632</v>
      </c>
      <c r="BA16" s="359">
        <v>0</v>
      </c>
      <c r="BB16" s="359">
        <v>0</v>
      </c>
      <c r="BC16" s="363"/>
      <c r="BE16" s="376" t="str">
        <f t="shared" si="23"/>
        <v>Rs.2000001 - Rs.2400000</v>
      </c>
      <c r="BF16" s="360">
        <f t="shared" si="23"/>
        <v>0.25</v>
      </c>
      <c r="BG16" s="359">
        <f t="shared" si="23"/>
        <v>0</v>
      </c>
      <c r="BH16" s="359">
        <f t="shared" si="23"/>
        <v>0</v>
      </c>
      <c r="BI16" s="365">
        <f t="shared" si="23"/>
        <v>0</v>
      </c>
      <c r="BK16" s="376" t="str">
        <f t="shared" si="24"/>
        <v>Rs.2000001 - Rs.2400000</v>
      </c>
      <c r="BL16" s="360">
        <f t="shared" si="25"/>
        <v>0.25</v>
      </c>
      <c r="BM16" s="359">
        <f t="shared" si="25"/>
        <v>0</v>
      </c>
      <c r="BN16" s="359">
        <f t="shared" si="27"/>
        <v>0</v>
      </c>
      <c r="BO16" s="365">
        <f>IF(KEY!$BB$8&lt;=KEY!$BH$9,BC16,BI16)</f>
        <v>0</v>
      </c>
      <c r="BQ16" s="870"/>
      <c r="BR16" s="870"/>
      <c r="BS16" s="870"/>
      <c r="BT16" s="870"/>
      <c r="BU16" s="871"/>
      <c r="BV16" s="870"/>
      <c r="BW16" s="870"/>
    </row>
    <row r="17" spans="1:76" ht="15.95" hidden="1" customHeight="1" x14ac:dyDescent="0.25">
      <c r="A17" s="800"/>
      <c r="B17" s="877">
        <v>28280</v>
      </c>
      <c r="C17" s="877">
        <f t="shared" si="15"/>
        <v>29130</v>
      </c>
      <c r="D17" s="882">
        <f t="shared" si="8"/>
        <v>29980</v>
      </c>
      <c r="E17" s="883">
        <v>29980</v>
      </c>
      <c r="F17" s="800"/>
      <c r="G17" s="911" t="s">
        <v>25</v>
      </c>
      <c r="H17" s="776"/>
      <c r="I17" s="800"/>
      <c r="J17" s="886">
        <v>45627</v>
      </c>
      <c r="K17" s="877">
        <f>IF(VALUE(H10)=VALUE(J16),LOOKUP(H4,BP_2021,BP_2020),H4)</f>
        <v>55520</v>
      </c>
      <c r="L17" s="800"/>
      <c r="M17" s="887">
        <f>INDEX($J$17:$K$28,ROWS(J19:K$28),1)</f>
        <v>45352</v>
      </c>
      <c r="N17" s="10" t="str">
        <f t="shared" si="30"/>
        <v/>
      </c>
      <c r="O17" s="888">
        <f>INDEX($J$17:$K$28,ROWS(J19:K$28),2)</f>
        <v>54060</v>
      </c>
      <c r="P17" s="10" t="str">
        <f t="shared" si="0"/>
        <v/>
      </c>
      <c r="Q17" s="888">
        <f t="shared" si="1"/>
        <v>52600</v>
      </c>
      <c r="R17" s="888">
        <f t="shared" si="10"/>
        <v>54060</v>
      </c>
      <c r="S17" s="800"/>
      <c r="T17" s="853"/>
      <c r="U17" s="853"/>
      <c r="V17" s="853"/>
      <c r="W17" s="853"/>
      <c r="X17" s="853"/>
      <c r="Y17" s="778"/>
      <c r="Z17" s="778"/>
      <c r="AA17" s="800"/>
      <c r="AB17" s="887">
        <f>INDEX($J$17:$K$28,ROWS(X19:Y$28),1)</f>
        <v>45352</v>
      </c>
      <c r="AC17" s="906">
        <f t="shared" si="19"/>
        <v>1968</v>
      </c>
      <c r="AD17" s="906">
        <f t="shared" si="26"/>
        <v>197</v>
      </c>
      <c r="AE17" s="906">
        <f t="shared" si="21"/>
        <v>1771</v>
      </c>
      <c r="AF17" s="800"/>
      <c r="AG17" s="906">
        <f t="shared" si="28"/>
        <v>1476</v>
      </c>
      <c r="AH17" s="906">
        <f t="shared" si="31"/>
        <v>148</v>
      </c>
      <c r="AI17" s="906">
        <f t="shared" si="29"/>
        <v>1328</v>
      </c>
      <c r="AJ17" s="800"/>
      <c r="AK17" s="776"/>
      <c r="AM17" s="72" t="s">
        <v>661</v>
      </c>
      <c r="AN17" s="800"/>
      <c r="AO17" s="84" t="str">
        <f>'ANNEXURE II'!C42</f>
        <v>National Pension Scheme    U/s 80CCD (1)(B)</v>
      </c>
      <c r="AP17" s="894">
        <f>IF(DATA!$D$5="CPS",AS25,0)</f>
        <v>0</v>
      </c>
      <c r="AR17" s="895">
        <f>IF(AND(DATA!D5="CPS",DATA!Q14="YES"),AS25,MIN(DATA!Q13,50000))</f>
        <v>0</v>
      </c>
      <c r="AS17" s="895">
        <f>IF(AS2="SPLIT", AR17, AP17)</f>
        <v>0</v>
      </c>
      <c r="AT17" s="895">
        <f>AS17</f>
        <v>0</v>
      </c>
      <c r="AU17" s="895">
        <f>AT17</f>
        <v>0</v>
      </c>
      <c r="AV17" s="895">
        <f>IF(KEY!$AZ$29="NEW",0,AU17)</f>
        <v>0</v>
      </c>
      <c r="AW17" s="800"/>
      <c r="AX17" s="776"/>
      <c r="AY17" s="376" t="s">
        <v>632</v>
      </c>
      <c r="AZ17" s="360"/>
      <c r="BA17" s="366">
        <f>SUM(BA11:BA16)</f>
        <v>792840</v>
      </c>
      <c r="BB17" s="366">
        <f>SUM(BB11:BB16)</f>
        <v>68568</v>
      </c>
      <c r="BC17" s="363"/>
      <c r="BE17" s="376" t="str">
        <f t="shared" si="23"/>
        <v>Rs.2400000 &amp;    ABOVE</v>
      </c>
      <c r="BF17" s="360">
        <f t="shared" si="23"/>
        <v>0.3</v>
      </c>
      <c r="BG17" s="359">
        <f t="shared" ref="BG17" si="32">BG8</f>
        <v>0</v>
      </c>
      <c r="BH17" s="359">
        <f>BH8</f>
        <v>0</v>
      </c>
      <c r="BI17" s="363"/>
      <c r="BK17" s="376" t="str">
        <f t="shared" si="24"/>
        <v>Rs.2400000 &amp;    ABOVE</v>
      </c>
      <c r="BL17" s="360">
        <f t="shared" si="25"/>
        <v>0.3</v>
      </c>
      <c r="BM17" s="359">
        <f t="shared" ref="BM17" si="33">IF($BM$36&lt;=$BN$36,BA17,BG17)</f>
        <v>0</v>
      </c>
      <c r="BN17" s="359">
        <f t="shared" si="27"/>
        <v>0</v>
      </c>
      <c r="BO17" s="363"/>
      <c r="BQ17" s="870"/>
      <c r="BR17" s="870"/>
      <c r="BS17" s="870"/>
      <c r="BT17" s="870"/>
      <c r="BU17" s="871"/>
      <c r="BV17" s="870"/>
      <c r="BW17" s="870"/>
      <c r="BX17" s="870"/>
    </row>
    <row r="18" spans="1:76" ht="15.95" hidden="1" customHeight="1" x14ac:dyDescent="0.25">
      <c r="A18" s="800"/>
      <c r="B18" s="877">
        <v>29130</v>
      </c>
      <c r="C18" s="877">
        <f t="shared" si="15"/>
        <v>29980</v>
      </c>
      <c r="D18" s="882">
        <f t="shared" si="8"/>
        <v>30830</v>
      </c>
      <c r="E18" s="883">
        <v>30830</v>
      </c>
      <c r="F18" s="800"/>
      <c r="G18" s="911">
        <v>44927</v>
      </c>
      <c r="H18" s="776"/>
      <c r="I18" s="800"/>
      <c r="J18" s="886">
        <v>45597</v>
      </c>
      <c r="K18" s="877">
        <f t="shared" ref="K18:K28" si="34">IF(VALUE($H$9)&gt;VALUE(J18),LOOKUP($H$4,BP_2021,BP_2020),K17)</f>
        <v>55520</v>
      </c>
      <c r="L18" s="800"/>
      <c r="M18" s="887">
        <f>INDEX($J$17:$K$28,ROWS(J20:K$28),1)</f>
        <v>45383</v>
      </c>
      <c r="N18" s="10" t="str">
        <f t="shared" si="30"/>
        <v/>
      </c>
      <c r="O18" s="888">
        <f>INDEX($J$17:$K$28,ROWS(J20:K$28),2)</f>
        <v>54060</v>
      </c>
      <c r="P18" s="10" t="str">
        <f t="shared" si="0"/>
        <v>AAS</v>
      </c>
      <c r="Q18" s="888">
        <f t="shared" si="1"/>
        <v>55520</v>
      </c>
      <c r="R18" s="888">
        <f t="shared" si="10"/>
        <v>54060</v>
      </c>
      <c r="S18" s="800"/>
      <c r="T18" s="853"/>
      <c r="U18" s="853"/>
      <c r="V18" s="853"/>
      <c r="W18" s="853"/>
      <c r="X18" s="853"/>
      <c r="Y18" s="778"/>
      <c r="Z18" s="778"/>
      <c r="AA18" s="800"/>
      <c r="AB18" s="887">
        <f>INDEX($J$17:$K$28,ROWS(X20:Y$28),1)</f>
        <v>45383</v>
      </c>
      <c r="AC18" s="906">
        <f t="shared" si="19"/>
        <v>1968</v>
      </c>
      <c r="AD18" s="906">
        <f t="shared" si="26"/>
        <v>197</v>
      </c>
      <c r="AE18" s="906">
        <f t="shared" si="21"/>
        <v>1771</v>
      </c>
      <c r="AF18" s="800"/>
      <c r="AG18" s="906">
        <f t="shared" si="28"/>
        <v>1476</v>
      </c>
      <c r="AH18" s="906">
        <f t="shared" si="31"/>
        <v>148</v>
      </c>
      <c r="AI18" s="906">
        <f t="shared" si="29"/>
        <v>1328</v>
      </c>
      <c r="AJ18" s="800"/>
      <c r="AK18" s="776"/>
      <c r="AM18" s="72" t="s">
        <v>37</v>
      </c>
      <c r="AN18" s="800"/>
      <c r="AO18" s="83" t="s">
        <v>662</v>
      </c>
      <c r="AP18" s="895">
        <f>AP16+AP17</f>
        <v>121651</v>
      </c>
      <c r="AR18" s="895">
        <f>AR16+AR17</f>
        <v>121651</v>
      </c>
      <c r="AS18" s="895">
        <f>AS16+AS17</f>
        <v>121651</v>
      </c>
      <c r="AT18" s="895">
        <f>AT16+AT17</f>
        <v>121651</v>
      </c>
      <c r="AU18" s="895">
        <f>AU16+MIN(50000,AU17)</f>
        <v>121651</v>
      </c>
      <c r="AV18" s="895">
        <f>IF(KEY!$AZ$29="NEW",0,AU18)</f>
        <v>0</v>
      </c>
      <c r="AW18" s="800"/>
      <c r="AX18" s="776"/>
      <c r="BG18" s="743">
        <f t="shared" ref="BG18:BH18" si="35">BG9</f>
        <v>903410</v>
      </c>
      <c r="BH18" s="743">
        <f t="shared" si="35"/>
        <v>30341</v>
      </c>
      <c r="BM18" s="366">
        <f>SUM(BM11:BM17)</f>
        <v>903410</v>
      </c>
      <c r="BN18" s="366">
        <f>SUM(BN11:BN17)</f>
        <v>30341</v>
      </c>
      <c r="BQ18" s="870"/>
      <c r="BR18" s="730" t="str">
        <f>"You are a "&amp;BS18</f>
        <v>You are a General Citizen</v>
      </c>
      <c r="BS18" s="581" t="str">
        <f>IFERROR(IF(DATA!D14="",BS26,IF(DATA!D14=KEY!BR26,KEY!BS26,IF(DATA!D14=KEY!BR27,KEY!BS27,IF(DATA!D14=KEY!BR28,KEY!BS28)))),BS26)</f>
        <v>General Citizen</v>
      </c>
      <c r="BT18" s="870"/>
      <c r="BU18" s="871"/>
      <c r="BV18" s="870"/>
      <c r="BW18" s="870"/>
      <c r="BX18" s="870"/>
    </row>
    <row r="19" spans="1:76" ht="15.95" hidden="1" customHeight="1" x14ac:dyDescent="0.25">
      <c r="A19" s="800"/>
      <c r="B19" s="877">
        <v>29980</v>
      </c>
      <c r="C19" s="877">
        <f t="shared" si="15"/>
        <v>30830</v>
      </c>
      <c r="D19" s="882">
        <f t="shared" si="8"/>
        <v>31750</v>
      </c>
      <c r="E19" s="883">
        <v>31750</v>
      </c>
      <c r="F19" s="800"/>
      <c r="G19" s="911">
        <v>44958</v>
      </c>
      <c r="H19" s="776"/>
      <c r="I19" s="800"/>
      <c r="J19" s="886">
        <v>45566</v>
      </c>
      <c r="K19" s="877">
        <f t="shared" si="34"/>
        <v>54060</v>
      </c>
      <c r="L19" s="800"/>
      <c r="M19" s="887">
        <f>INDEX($J$17:$K$28,ROWS(J21:K$28),1)</f>
        <v>45413</v>
      </c>
      <c r="N19" s="10" t="str">
        <f t="shared" si="30"/>
        <v/>
      </c>
      <c r="O19" s="888">
        <f>INDEX($J$17:$K$28,ROWS(J21:K$28),2)</f>
        <v>54060</v>
      </c>
      <c r="P19" s="10" t="str">
        <f t="shared" si="0"/>
        <v/>
      </c>
      <c r="Q19" s="888">
        <f t="shared" si="1"/>
        <v>55520</v>
      </c>
      <c r="R19" s="888">
        <f t="shared" si="10"/>
        <v>54060</v>
      </c>
      <c r="S19" s="800"/>
      <c r="T19" s="853"/>
      <c r="U19" s="853"/>
      <c r="V19" s="853"/>
      <c r="W19" s="853"/>
      <c r="X19" s="853"/>
      <c r="Y19" s="853"/>
      <c r="Z19" s="853"/>
      <c r="AA19" s="800"/>
      <c r="AB19" s="887">
        <f>INDEX($J$17:$K$28,ROWS(X21:Y$28),1)</f>
        <v>45413</v>
      </c>
      <c r="AC19" s="906">
        <f t="shared" si="19"/>
        <v>1968</v>
      </c>
      <c r="AD19" s="906">
        <f t="shared" si="26"/>
        <v>197</v>
      </c>
      <c r="AE19" s="906">
        <f t="shared" si="21"/>
        <v>1771</v>
      </c>
      <c r="AF19" s="800"/>
      <c r="AG19" s="906">
        <f t="shared" si="28"/>
        <v>1476</v>
      </c>
      <c r="AH19" s="906">
        <f t="shared" si="31"/>
        <v>148</v>
      </c>
      <c r="AI19" s="906">
        <f t="shared" si="29"/>
        <v>1328</v>
      </c>
      <c r="AJ19" s="800"/>
      <c r="AK19" s="776"/>
      <c r="AM19" s="72" t="s">
        <v>37</v>
      </c>
      <c r="AN19" s="800"/>
      <c r="AO19" s="84" t="str">
        <f>'ANNEXURE II'!C43</f>
        <v>National Pension Scheme    U/s 80CCD (2)</v>
      </c>
      <c r="AP19" s="97">
        <f>IF(DATA!$D$5="CPS",AP3,0)</f>
        <v>90931</v>
      </c>
      <c r="AQ19" s="98"/>
      <c r="AR19" s="97"/>
      <c r="AS19" s="97"/>
      <c r="AT19" s="97"/>
      <c r="AU19" s="97"/>
      <c r="AV19" s="97">
        <f>IF(AND(DATA!$D$5="CPS",DATA!E8="YES"),MIN('ANNEXURE II'!T7*10%,AP19),0)</f>
        <v>0</v>
      </c>
      <c r="AW19" s="800"/>
      <c r="AX19" s="776"/>
      <c r="AY19" s="1660" t="s">
        <v>503</v>
      </c>
      <c r="AZ19" s="1660"/>
      <c r="BA19" s="1662" t="s">
        <v>663</v>
      </c>
      <c r="BB19" s="1662"/>
      <c r="BC19" s="368" t="s">
        <v>589</v>
      </c>
      <c r="BE19" s="1660" t="s">
        <v>500</v>
      </c>
      <c r="BF19" s="1660"/>
      <c r="BG19" s="1661" t="str">
        <f>BA19</f>
        <v>AGE &gt;80</v>
      </c>
      <c r="BH19" s="1662"/>
      <c r="BI19" s="368" t="s">
        <v>589</v>
      </c>
      <c r="BK19" s="1660" t="s">
        <v>590</v>
      </c>
      <c r="BL19" s="1660"/>
      <c r="BM19" s="1661" t="str">
        <f>BG19</f>
        <v>AGE &gt;80</v>
      </c>
      <c r="BN19" s="1662"/>
      <c r="BO19" s="368" t="s">
        <v>589</v>
      </c>
      <c r="BQ19" s="870"/>
      <c r="BR19" s="370" t="s">
        <v>664</v>
      </c>
      <c r="BS19" s="732">
        <f>IFERROR(IF(BS18=BS26,59,IF(BS18=BS27,79,IF(BS18=BS28,99))),60)</f>
        <v>59</v>
      </c>
      <c r="BT19" s="870"/>
      <c r="BU19" s="871"/>
      <c r="BV19" s="870"/>
      <c r="BW19" s="870"/>
      <c r="BX19" s="870"/>
    </row>
    <row r="20" spans="1:76" ht="15.95" hidden="1" customHeight="1" x14ac:dyDescent="0.25">
      <c r="A20" s="800"/>
      <c r="B20" s="877">
        <v>30830</v>
      </c>
      <c r="C20" s="877">
        <f t="shared" si="15"/>
        <v>31750</v>
      </c>
      <c r="D20" s="882">
        <f t="shared" si="8"/>
        <v>32670</v>
      </c>
      <c r="E20" s="883">
        <v>32670</v>
      </c>
      <c r="F20" s="800"/>
      <c r="G20" s="911">
        <v>44986</v>
      </c>
      <c r="H20" s="776"/>
      <c r="I20" s="800"/>
      <c r="J20" s="886">
        <v>45536</v>
      </c>
      <c r="K20" s="877">
        <f t="shared" si="34"/>
        <v>54060</v>
      </c>
      <c r="L20" s="800"/>
      <c r="M20" s="887">
        <f>INDEX($J$17:$K$28,ROWS(J22:K$28),1)</f>
        <v>45444</v>
      </c>
      <c r="N20" s="10" t="str">
        <f t="shared" si="30"/>
        <v/>
      </c>
      <c r="O20" s="888">
        <f>INDEX($J$17:$K$28,ROWS(J22:K$28),2)</f>
        <v>54060</v>
      </c>
      <c r="P20" s="10" t="str">
        <f t="shared" si="0"/>
        <v/>
      </c>
      <c r="Q20" s="888">
        <f t="shared" si="1"/>
        <v>55520</v>
      </c>
      <c r="R20" s="888">
        <f t="shared" si="10"/>
        <v>54060</v>
      </c>
      <c r="S20" s="800"/>
      <c r="T20" s="853"/>
      <c r="U20" s="853"/>
      <c r="V20" s="853"/>
      <c r="W20" s="853"/>
      <c r="X20" s="853"/>
      <c r="Y20" s="778"/>
      <c r="Z20" s="778"/>
      <c r="AA20" s="800"/>
      <c r="AB20" s="887">
        <f>INDEX($J$17:$K$28,ROWS(X22:Y$28),1)</f>
        <v>45444</v>
      </c>
      <c r="AC20" s="906">
        <f t="shared" si="19"/>
        <v>1968</v>
      </c>
      <c r="AD20" s="906">
        <f t="shared" si="26"/>
        <v>197</v>
      </c>
      <c r="AE20" s="906">
        <f t="shared" si="21"/>
        <v>1771</v>
      </c>
      <c r="AF20" s="800"/>
      <c r="AG20" s="906">
        <f t="shared" si="28"/>
        <v>1476</v>
      </c>
      <c r="AH20" s="906">
        <f t="shared" si="31"/>
        <v>148</v>
      </c>
      <c r="AI20" s="906">
        <f t="shared" si="29"/>
        <v>1328</v>
      </c>
      <c r="AJ20" s="800"/>
      <c r="AK20" s="776"/>
      <c r="AM20" s="72"/>
      <c r="AN20" s="800"/>
      <c r="AO20" s="776"/>
      <c r="AP20" s="776"/>
      <c r="AR20" s="776"/>
      <c r="AS20" s="776"/>
      <c r="AT20" s="776"/>
      <c r="AU20" s="776"/>
      <c r="AV20" s="776"/>
      <c r="AW20" s="800"/>
      <c r="AX20" s="776"/>
      <c r="AY20" s="376" t="s">
        <v>665</v>
      </c>
      <c r="AZ20" s="360">
        <v>0</v>
      </c>
      <c r="BA20" s="359">
        <v>500000</v>
      </c>
      <c r="BB20" s="359">
        <f>ROUND(BA20*AZ20,0)</f>
        <v>0</v>
      </c>
      <c r="BC20" s="361">
        <f>IF(AND(KEY!$BS$11&gt;=5000000,KEY!$BS$11&lt;=10000000),5000000,IF(AND(KEY!$BS$11&gt;10000000,KEY!$BS$11&lt;=20000000),10000000,IF(AND(KEY!$BS$11&gt;20000000,KEY!$BS$11&lt;=50000000),20000000,IF(AND(KEY!$BS$11&gt;50000000),50000000,0))))</f>
        <v>0</v>
      </c>
      <c r="BE20" s="376" t="str">
        <f>BE11</f>
        <v>Rs.   000000 - Rs.  400000</v>
      </c>
      <c r="BF20" s="360">
        <f t="shared" ref="BF20:BI20" si="36">BF11</f>
        <v>0</v>
      </c>
      <c r="BG20" s="359">
        <f t="shared" si="36"/>
        <v>400000</v>
      </c>
      <c r="BH20" s="359">
        <f t="shared" si="36"/>
        <v>0</v>
      </c>
      <c r="BI20" s="361">
        <f t="shared" si="36"/>
        <v>0</v>
      </c>
      <c r="BK20" s="376" t="str">
        <f>IF($BM$36&lt;=$BN$36,AY20,BE20)</f>
        <v>Rs.   000000 - Rs.  400000</v>
      </c>
      <c r="BL20" s="360">
        <f>IF($BM$36&lt;=$BN$36,AZ20,BF20)</f>
        <v>0</v>
      </c>
      <c r="BM20" s="359">
        <f>IF($BM$36&lt;=$BN$36,BA20,BG20)</f>
        <v>400000</v>
      </c>
      <c r="BN20" s="359">
        <f>IF($BM$36&lt;=$BN$36,BB20,BH20)</f>
        <v>0</v>
      </c>
      <c r="BO20" s="361">
        <f>IF(KEY!$BB$8&lt;=KEY!$BH$9,BC20,BI20)</f>
        <v>0</v>
      </c>
      <c r="BQ20" s="870"/>
      <c r="BR20" s="1672" t="str">
        <f>IFERROR("YOUR AGE : "&amp;DATEDIF(BS7,BS21,"y")&amp;" YEARS - "&amp;DATEDIF(BS7,BS21,"ym")&amp;" MONTH(s) - "&amp;DATEDIF(BS7,BS21,"md")&amp;" DAY(s)","CHECK YOUR DATE OF BIRTH ENTRY")</f>
        <v>YOUR AGE : 42 YEARS - 1 MONTH(s) - 21 DAY(s)</v>
      </c>
      <c r="BS20" s="1672"/>
      <c r="BT20" s="870"/>
      <c r="BU20" s="871"/>
      <c r="BV20" s="870"/>
      <c r="BW20" s="870"/>
      <c r="BX20" s="870"/>
    </row>
    <row r="21" spans="1:76" ht="15.95" hidden="1" customHeight="1" x14ac:dyDescent="0.25">
      <c r="A21" s="800"/>
      <c r="B21" s="877">
        <v>31750</v>
      </c>
      <c r="C21" s="877">
        <f t="shared" si="15"/>
        <v>32670</v>
      </c>
      <c r="D21" s="882">
        <f t="shared" si="8"/>
        <v>33590</v>
      </c>
      <c r="E21" s="883">
        <v>33590</v>
      </c>
      <c r="F21" s="800"/>
      <c r="G21" s="911">
        <v>45017</v>
      </c>
      <c r="H21" s="776"/>
      <c r="I21" s="800"/>
      <c r="J21" s="886">
        <v>45505</v>
      </c>
      <c r="K21" s="877">
        <f t="shared" si="34"/>
        <v>54060</v>
      </c>
      <c r="L21" s="800"/>
      <c r="M21" s="887">
        <f>INDEX($J$17:$K$28,ROWS(J23:K$28),1)</f>
        <v>45474</v>
      </c>
      <c r="N21" s="10" t="str">
        <f t="shared" si="30"/>
        <v/>
      </c>
      <c r="O21" s="888">
        <f>INDEX($J$17:$K$28,ROWS(J23:K$28),2)</f>
        <v>54060</v>
      </c>
      <c r="P21" s="10" t="str">
        <f t="shared" si="0"/>
        <v/>
      </c>
      <c r="Q21" s="888">
        <f t="shared" si="1"/>
        <v>55520</v>
      </c>
      <c r="R21" s="888">
        <f t="shared" si="10"/>
        <v>54060</v>
      </c>
      <c r="S21" s="800"/>
      <c r="T21" s="853"/>
      <c r="U21" s="853"/>
      <c r="V21" s="853"/>
      <c r="W21" s="853"/>
      <c r="X21" s="853"/>
      <c r="Y21" s="778"/>
      <c r="Z21" s="778"/>
      <c r="AA21" s="800"/>
      <c r="AB21" s="887">
        <f>INDEX($J$17:$K$28,ROWS(X23:Y$28),1)</f>
        <v>45474</v>
      </c>
      <c r="AC21" s="906">
        <f t="shared" si="19"/>
        <v>1968</v>
      </c>
      <c r="AD21" s="906">
        <f t="shared" si="26"/>
        <v>197</v>
      </c>
      <c r="AE21" s="906">
        <f t="shared" si="21"/>
        <v>1771</v>
      </c>
      <c r="AF21" s="800"/>
      <c r="AG21" s="906">
        <f t="shared" si="28"/>
        <v>1476</v>
      </c>
      <c r="AH21" s="906">
        <f t="shared" si="31"/>
        <v>148</v>
      </c>
      <c r="AI21" s="906">
        <f t="shared" si="29"/>
        <v>1328</v>
      </c>
      <c r="AJ21" s="800"/>
      <c r="AK21" s="776"/>
      <c r="AL21" s="68"/>
      <c r="AM21" s="72"/>
      <c r="AN21" s="800"/>
      <c r="AO21" s="83" t="str">
        <f>'ANNEXURE II'!D46</f>
        <v>E.W.F &amp; S.W.F &amp; CMRF            U/s 80(G)</v>
      </c>
      <c r="AP21" s="894">
        <f>'ANNEXURE I'!V27</f>
        <v>150</v>
      </c>
      <c r="AR21" s="89" t="s">
        <v>253</v>
      </c>
      <c r="AS21" s="86">
        <f>AP16</f>
        <v>121651</v>
      </c>
      <c r="AT21" s="87"/>
      <c r="AU21" s="894">
        <f>AP21</f>
        <v>150</v>
      </c>
      <c r="AV21" s="895">
        <f>IF(KEY!$AZ$29="NEW",0,AU21)</f>
        <v>0</v>
      </c>
      <c r="AW21" s="800"/>
      <c r="AX21" s="776"/>
      <c r="AY21" s="376" t="s">
        <v>625</v>
      </c>
      <c r="AZ21" s="360">
        <v>0.2</v>
      </c>
      <c r="BA21" s="359">
        <f>MIN(MAX(KEY!$BS$11-(BA20),0),500000)</f>
        <v>292840</v>
      </c>
      <c r="BB21" s="359">
        <f>ROUND(BA21*AZ21,0)</f>
        <v>58568</v>
      </c>
      <c r="BC21" s="361">
        <f>MAX(0,IF(AND(BC20&lt;=500000),0,  IF(AND(BC20&gt;500000,AND(BC20&lt;=1000000)),ROUND((BC20-1000000)*20%,0),IF(AND(BC20&gt;1000000),ROUND(100000+(BC20-1000000)*30%,0),0))))</f>
        <v>0</v>
      </c>
      <c r="BE21" s="376" t="str">
        <f t="shared" ref="BE21:BI21" si="37">BE12</f>
        <v>Rs.   400001 - Rs.  800000</v>
      </c>
      <c r="BF21" s="360">
        <f t="shared" si="37"/>
        <v>0.05</v>
      </c>
      <c r="BG21" s="359">
        <f>BG12</f>
        <v>400000</v>
      </c>
      <c r="BH21" s="359">
        <f t="shared" si="37"/>
        <v>20000</v>
      </c>
      <c r="BI21" s="361">
        <f t="shared" si="37"/>
        <v>0</v>
      </c>
      <c r="BK21" s="376" t="str">
        <f t="shared" ref="BK21:BK26" si="38">IF($BM$36&lt;=$BN$36,AY21,BE21)</f>
        <v>Rs.   400001 - Rs.  800000</v>
      </c>
      <c r="BL21" s="360">
        <f t="shared" ref="BL21:BM26" si="39">IF($BM$36&lt;=$BN$36,AZ21,BF21)</f>
        <v>0.05</v>
      </c>
      <c r="BM21" s="359">
        <f t="shared" si="39"/>
        <v>400000</v>
      </c>
      <c r="BN21" s="359">
        <f>IF($BM$36&lt;=$BN$36,BB21,BH21)</f>
        <v>20000</v>
      </c>
      <c r="BO21" s="361">
        <f>IF(KEY!$BB$8&lt;=KEY!$BH$9,BC21,BI21)</f>
        <v>0</v>
      </c>
      <c r="BQ21" s="870"/>
      <c r="BR21" s="912" t="s">
        <v>666</v>
      </c>
      <c r="BS21" s="913">
        <f>DATE(BR22,4,1)</f>
        <v>46113</v>
      </c>
      <c r="BT21" s="870"/>
      <c r="BU21" s="871"/>
      <c r="BV21" s="870"/>
      <c r="BW21" s="870"/>
      <c r="BX21" s="870"/>
    </row>
    <row r="22" spans="1:76" ht="15.95" hidden="1" customHeight="1" x14ac:dyDescent="0.25">
      <c r="A22" s="800"/>
      <c r="B22" s="877">
        <v>32670</v>
      </c>
      <c r="C22" s="877">
        <f t="shared" si="15"/>
        <v>33590</v>
      </c>
      <c r="D22" s="882">
        <f t="shared" si="8"/>
        <v>34580</v>
      </c>
      <c r="E22" s="883">
        <v>34580</v>
      </c>
      <c r="F22" s="800"/>
      <c r="G22" s="911">
        <v>45047</v>
      </c>
      <c r="H22" s="776"/>
      <c r="I22" s="800"/>
      <c r="J22" s="886">
        <v>45474</v>
      </c>
      <c r="K22" s="877">
        <f t="shared" si="34"/>
        <v>54060</v>
      </c>
      <c r="L22" s="800"/>
      <c r="M22" s="887">
        <f>INDEX($J$17:$K$28,ROWS(J24:K$28),1)</f>
        <v>45505</v>
      </c>
      <c r="N22" s="10" t="str">
        <f t="shared" si="30"/>
        <v/>
      </c>
      <c r="O22" s="888">
        <f>INDEX($J$17:$K$28,ROWS(J24:K$28),2)</f>
        <v>54060</v>
      </c>
      <c r="P22" s="10" t="str">
        <f t="shared" si="0"/>
        <v/>
      </c>
      <c r="Q22" s="888">
        <f t="shared" si="1"/>
        <v>55520</v>
      </c>
      <c r="R22" s="888">
        <f t="shared" si="10"/>
        <v>54060</v>
      </c>
      <c r="S22" s="800"/>
      <c r="T22" s="853"/>
      <c r="U22" s="853"/>
      <c r="V22" s="853"/>
      <c r="W22" s="853"/>
      <c r="X22" s="853"/>
      <c r="Y22" s="778"/>
      <c r="Z22" s="778"/>
      <c r="AA22" s="800"/>
      <c r="AB22" s="887">
        <f>INDEX($J$17:$K$28,ROWS(X24:Y$28),1)</f>
        <v>45505</v>
      </c>
      <c r="AC22" s="906">
        <f t="shared" si="19"/>
        <v>1968</v>
      </c>
      <c r="AD22" s="906">
        <f t="shared" si="26"/>
        <v>197</v>
      </c>
      <c r="AE22" s="906">
        <f t="shared" si="21"/>
        <v>1771</v>
      </c>
      <c r="AF22" s="800"/>
      <c r="AG22" s="906">
        <f t="shared" si="28"/>
        <v>1476</v>
      </c>
      <c r="AH22" s="906">
        <f t="shared" si="31"/>
        <v>148</v>
      </c>
      <c r="AI22" s="906">
        <f t="shared" si="29"/>
        <v>1328</v>
      </c>
      <c r="AJ22" s="800"/>
      <c r="AK22" s="776"/>
      <c r="AM22" s="74" t="s">
        <v>667</v>
      </c>
      <c r="AN22" s="800"/>
      <c r="AO22" s="83" t="str">
        <f>DATA!M29</f>
        <v xml:space="preserve">24(b) Interest on Housing Loan Advance U/s 24B  </v>
      </c>
      <c r="AP22" s="894">
        <f>DATA!Q29</f>
        <v>0</v>
      </c>
      <c r="AQ22" s="68"/>
      <c r="AR22" s="89" t="s">
        <v>668</v>
      </c>
      <c r="AS22" s="86">
        <f>AP3</f>
        <v>90931</v>
      </c>
      <c r="AT22" s="88" t="s">
        <v>192</v>
      </c>
      <c r="AU22" s="894">
        <f>MIN(200000,AP22)</f>
        <v>0</v>
      </c>
      <c r="AV22" s="895">
        <f>IF(KEY!$AZ$29="NEW",0,AU22)</f>
        <v>0</v>
      </c>
      <c r="AW22" s="800"/>
      <c r="AX22" s="776"/>
      <c r="AY22" s="376" t="s">
        <v>628</v>
      </c>
      <c r="AZ22" s="360">
        <v>0.3</v>
      </c>
      <c r="BA22" s="359">
        <f>MIN(MAX(KEY!$BS$11-(BA20+BA21),0))</f>
        <v>0</v>
      </c>
      <c r="BB22" s="359">
        <f>ROUND(BA22*AZ22,0)</f>
        <v>0</v>
      </c>
      <c r="BC22" s="361">
        <f>IF(AND(BC20&gt;5000000,BC20&lt;=10000000),ROUND(BC21*10%,0),IF(AND(BC20&gt;10000000,BC20&lt;=20000000),ROUND(BC21*15%,0),IF(AND(BC20&gt;20000000,BC20&lt;=50000000),ROUND(BC21*25%,0),IF(AND(BC20&gt;5000000),ROUND(BC21*37%,0),0))))</f>
        <v>0</v>
      </c>
      <c r="BE22" s="376" t="str">
        <f t="shared" ref="BE22:BI22" si="40">BE13</f>
        <v>Rs.   800001 - Rs. 1200000</v>
      </c>
      <c r="BF22" s="360">
        <f t="shared" si="40"/>
        <v>0.1</v>
      </c>
      <c r="BG22" s="359">
        <f t="shared" si="40"/>
        <v>103410</v>
      </c>
      <c r="BH22" s="359">
        <f t="shared" si="40"/>
        <v>10341</v>
      </c>
      <c r="BI22" s="361">
        <f t="shared" si="40"/>
        <v>0</v>
      </c>
      <c r="BK22" s="376" t="str">
        <f t="shared" si="38"/>
        <v>Rs.   800001 - Rs. 1200000</v>
      </c>
      <c r="BL22" s="360">
        <f t="shared" si="39"/>
        <v>0.1</v>
      </c>
      <c r="BM22" s="359">
        <f t="shared" si="39"/>
        <v>103410</v>
      </c>
      <c r="BN22" s="359">
        <f t="shared" ref="BN22:BN26" si="41">IF($BM$36&lt;=$BN$36,BB22,BH22)</f>
        <v>10341</v>
      </c>
      <c r="BO22" s="361">
        <f>IF(KEY!$BB$8&lt;=KEY!$BH$9,BC22,BI22)</f>
        <v>0</v>
      </c>
      <c r="BQ22" s="870"/>
      <c r="BR22" s="914" t="str">
        <f>RIGHT('ANNEXURE II'!B2,4)</f>
        <v>2026</v>
      </c>
      <c r="BS22" s="915">
        <f>DATE(BR22,4,1)</f>
        <v>46113</v>
      </c>
      <c r="BT22" s="881"/>
      <c r="BU22" s="916"/>
      <c r="BV22" s="881"/>
      <c r="BW22" s="870"/>
      <c r="BX22" s="881"/>
    </row>
    <row r="23" spans="1:76" ht="15.95" hidden="1" customHeight="1" x14ac:dyDescent="0.25">
      <c r="A23" s="800"/>
      <c r="B23" s="917">
        <v>33590</v>
      </c>
      <c r="C23" s="877">
        <f t="shared" si="15"/>
        <v>34580</v>
      </c>
      <c r="D23" s="882">
        <f t="shared" si="8"/>
        <v>35570</v>
      </c>
      <c r="E23" s="883">
        <v>35570</v>
      </c>
      <c r="F23" s="800"/>
      <c r="G23" s="911">
        <v>45078</v>
      </c>
      <c r="H23" s="776"/>
      <c r="I23" s="800"/>
      <c r="J23" s="886">
        <v>45444</v>
      </c>
      <c r="K23" s="877">
        <f t="shared" si="34"/>
        <v>54060</v>
      </c>
      <c r="L23" s="800"/>
      <c r="M23" s="887">
        <f>INDEX($J$17:$K$28,ROWS(J25:K$28),1)</f>
        <v>45536</v>
      </c>
      <c r="N23" s="10" t="str">
        <f t="shared" si="30"/>
        <v/>
      </c>
      <c r="O23" s="888">
        <f>INDEX($J$17:$K$28,ROWS(J25:K$28),2)</f>
        <v>54060</v>
      </c>
      <c r="P23" s="10" t="str">
        <f t="shared" si="0"/>
        <v/>
      </c>
      <c r="Q23" s="888">
        <f t="shared" si="1"/>
        <v>55520</v>
      </c>
      <c r="R23" s="888">
        <f t="shared" si="10"/>
        <v>54060</v>
      </c>
      <c r="S23" s="800"/>
      <c r="T23" s="853"/>
      <c r="U23" s="853"/>
      <c r="V23" s="853"/>
      <c r="W23" s="853"/>
      <c r="X23" s="853"/>
      <c r="Y23" s="778"/>
      <c r="Z23" s="778"/>
      <c r="AA23" s="800"/>
      <c r="AB23" s="887">
        <f>INDEX($J$17:$K$28,ROWS(X25:Y$28),1)</f>
        <v>45536</v>
      </c>
      <c r="AC23" s="906">
        <f t="shared" si="19"/>
        <v>1968</v>
      </c>
      <c r="AD23" s="906">
        <f t="shared" si="26"/>
        <v>197</v>
      </c>
      <c r="AE23" s="906">
        <f t="shared" si="21"/>
        <v>1771</v>
      </c>
      <c r="AF23" s="800"/>
      <c r="AG23" s="906">
        <f t="shared" si="28"/>
        <v>1476</v>
      </c>
      <c r="AH23" s="906">
        <f t="shared" si="31"/>
        <v>148</v>
      </c>
      <c r="AI23" s="906">
        <f t="shared" si="29"/>
        <v>1328</v>
      </c>
      <c r="AJ23" s="800"/>
      <c r="AK23" s="776"/>
      <c r="AM23" s="85" t="s">
        <v>669</v>
      </c>
      <c r="AN23" s="800"/>
      <c r="AO23" s="83" t="str">
        <f>DATA!M30</f>
        <v>80EEA : Interest on Home Loan in FY:2019-22 , House Value&lt;=45L</v>
      </c>
      <c r="AP23" s="894">
        <f>DATA!Q30</f>
        <v>0</v>
      </c>
      <c r="AR23" s="89" t="s">
        <v>670</v>
      </c>
      <c r="AS23" s="86">
        <f>IF(AS21&lt;150000,0,AS21-AS22)</f>
        <v>0</v>
      </c>
      <c r="AT23" s="88" t="s">
        <v>195</v>
      </c>
      <c r="AU23" s="894">
        <f>MIN(150000,AP23)</f>
        <v>0</v>
      </c>
      <c r="AV23" s="895">
        <f>IF(KEY!$AZ$29="NEW",0,AU23)</f>
        <v>0</v>
      </c>
      <c r="AW23" s="800"/>
      <c r="AX23" s="776"/>
      <c r="AY23" s="376" t="s">
        <v>632</v>
      </c>
      <c r="AZ23" s="360" t="s">
        <v>632</v>
      </c>
      <c r="BA23" s="359">
        <v>0</v>
      </c>
      <c r="BB23" s="359">
        <v>0</v>
      </c>
      <c r="BC23" s="361" t="b">
        <f>IF(AND(BA26&gt;5000000,BA26&lt;=10000000),ROUND(BB26*10%,0),
IF(AND(BA26&gt;10000000,BA26&lt;=20000000),ROUND(BB26*15%,0),
IF(AND(BA26&gt;20000000,BA26&lt;=50000000),ROUND(BB26*25%,0),
IF(AND(BA26&gt;5000000),ROUND(BB26*37%,0)))))</f>
        <v>0</v>
      </c>
      <c r="BE23" s="376" t="str">
        <f t="shared" ref="BE23:BI23" si="42">BE14</f>
        <v>Rs. 1200001 - Rs.1600000</v>
      </c>
      <c r="BF23" s="360">
        <f t="shared" si="42"/>
        <v>0.15</v>
      </c>
      <c r="BG23" s="359">
        <f t="shared" si="42"/>
        <v>0</v>
      </c>
      <c r="BH23" s="359">
        <f t="shared" si="42"/>
        <v>0</v>
      </c>
      <c r="BI23" s="361">
        <f t="shared" si="42"/>
        <v>0</v>
      </c>
      <c r="BK23" s="376" t="str">
        <f t="shared" si="38"/>
        <v>Rs. 1200001 - Rs.1600000</v>
      </c>
      <c r="BL23" s="360">
        <f t="shared" si="39"/>
        <v>0.15</v>
      </c>
      <c r="BM23" s="359">
        <f t="shared" si="39"/>
        <v>0</v>
      </c>
      <c r="BN23" s="359">
        <f t="shared" si="41"/>
        <v>0</v>
      </c>
      <c r="BO23" s="361">
        <f>IF(KEY!$BB$8&lt;=KEY!$BH$9,BC23,BI23)</f>
        <v>0</v>
      </c>
      <c r="BQ23" s="870"/>
      <c r="BR23" s="870"/>
      <c r="BS23" s="870"/>
      <c r="BT23" s="378"/>
      <c r="BU23" s="419"/>
      <c r="BV23" s="378"/>
      <c r="BW23" s="870"/>
      <c r="BX23" s="378"/>
    </row>
    <row r="24" spans="1:76" ht="15.95" hidden="1" customHeight="1" x14ac:dyDescent="0.25">
      <c r="A24" s="800"/>
      <c r="B24" s="877">
        <v>34580</v>
      </c>
      <c r="C24" s="877">
        <f t="shared" si="15"/>
        <v>35570</v>
      </c>
      <c r="D24" s="882">
        <f t="shared" si="8"/>
        <v>36560</v>
      </c>
      <c r="E24" s="883">
        <v>36560</v>
      </c>
      <c r="F24" s="800"/>
      <c r="G24" s="911">
        <v>45108</v>
      </c>
      <c r="H24" s="776"/>
      <c r="I24" s="800"/>
      <c r="J24" s="886">
        <v>45413</v>
      </c>
      <c r="K24" s="877">
        <f t="shared" si="34"/>
        <v>54060</v>
      </c>
      <c r="L24" s="800"/>
      <c r="M24" s="887">
        <f>INDEX($J$17:$K$28,ROWS(J26:K$28),1)</f>
        <v>45566</v>
      </c>
      <c r="N24" s="10" t="str">
        <f t="shared" si="30"/>
        <v/>
      </c>
      <c r="O24" s="888">
        <f>INDEX($J$17:$K$28,ROWS(J26:K$28),2)</f>
        <v>54060</v>
      </c>
      <c r="P24" s="10" t="str">
        <f t="shared" si="0"/>
        <v/>
      </c>
      <c r="Q24" s="888">
        <f t="shared" si="1"/>
        <v>55520</v>
      </c>
      <c r="R24" s="888">
        <f t="shared" si="10"/>
        <v>54060</v>
      </c>
      <c r="S24" s="800"/>
      <c r="T24" s="853"/>
      <c r="U24" s="853"/>
      <c r="V24" s="853"/>
      <c r="W24" s="853"/>
      <c r="X24" s="853"/>
      <c r="Y24" s="778"/>
      <c r="Z24" s="778"/>
      <c r="AA24" s="800"/>
      <c r="AB24" s="887">
        <f>INDEX($J$17:$K$28,ROWS(X26:Y$28),1)</f>
        <v>45566</v>
      </c>
      <c r="AC24" s="906">
        <f t="shared" si="19"/>
        <v>1968</v>
      </c>
      <c r="AD24" s="906">
        <f t="shared" si="26"/>
        <v>197</v>
      </c>
      <c r="AE24" s="906">
        <f t="shared" si="21"/>
        <v>1771</v>
      </c>
      <c r="AF24" s="800"/>
      <c r="AG24" s="906">
        <f t="shared" si="28"/>
        <v>1476</v>
      </c>
      <c r="AH24" s="906">
        <f t="shared" si="31"/>
        <v>148</v>
      </c>
      <c r="AI24" s="906">
        <f t="shared" si="29"/>
        <v>1328</v>
      </c>
      <c r="AJ24" s="800"/>
      <c r="AK24" s="776"/>
      <c r="AM24" s="85" t="s">
        <v>671</v>
      </c>
      <c r="AN24" s="800"/>
      <c r="AO24" s="83" t="str">
        <f>DATA!M31</f>
        <v>80EE   : Interest on Home Loan in FY:2016-17 , House Value&lt;50L</v>
      </c>
      <c r="AP24" s="894">
        <f>DATA!Q31</f>
        <v>0</v>
      </c>
      <c r="AR24" s="91" t="s">
        <v>672</v>
      </c>
      <c r="AS24" s="86">
        <f>IF(AS21&lt;150000,AS22,MAX(0,150000-AS23))</f>
        <v>90931</v>
      </c>
      <c r="AT24" s="88" t="s">
        <v>673</v>
      </c>
      <c r="AU24" s="894">
        <f>MIN(50000,AP24)</f>
        <v>0</v>
      </c>
      <c r="AV24" s="895">
        <f>IF(KEY!$AZ$29="NEW",0,AU24)</f>
        <v>0</v>
      </c>
      <c r="AW24" s="800"/>
      <c r="AX24" s="776"/>
      <c r="AY24" s="376" t="s">
        <v>632</v>
      </c>
      <c r="AZ24" s="360" t="s">
        <v>632</v>
      </c>
      <c r="BA24" s="359">
        <v>0</v>
      </c>
      <c r="BB24" s="359">
        <v>0</v>
      </c>
      <c r="BC24" s="382">
        <v>0</v>
      </c>
      <c r="BE24" s="376" t="str">
        <f t="shared" ref="BE24:BI24" si="43">BE15</f>
        <v>Rs.1600001 - Rs.2000000</v>
      </c>
      <c r="BF24" s="360">
        <f t="shared" si="43"/>
        <v>0.2</v>
      </c>
      <c r="BG24" s="359">
        <f t="shared" si="43"/>
        <v>0</v>
      </c>
      <c r="BH24" s="359">
        <f t="shared" si="43"/>
        <v>0</v>
      </c>
      <c r="BI24" s="364">
        <f t="shared" si="43"/>
        <v>0</v>
      </c>
      <c r="BK24" s="376" t="str">
        <f t="shared" si="38"/>
        <v>Rs.1600001 - Rs.2000000</v>
      </c>
      <c r="BL24" s="360">
        <f t="shared" si="39"/>
        <v>0.2</v>
      </c>
      <c r="BM24" s="359">
        <f t="shared" si="39"/>
        <v>0</v>
      </c>
      <c r="BN24" s="359">
        <f t="shared" si="41"/>
        <v>0</v>
      </c>
      <c r="BO24" s="364">
        <f>IF(KEY!$BB$8&lt;=KEY!$BH$9,BC24,BI24)</f>
        <v>0</v>
      </c>
      <c r="BQ24" s="870"/>
      <c r="BR24" s="881"/>
      <c r="BS24" s="378"/>
      <c r="BT24" s="378"/>
      <c r="BU24" s="419"/>
      <c r="BV24" s="378"/>
      <c r="BW24" s="870"/>
      <c r="BX24" s="378"/>
    </row>
    <row r="25" spans="1:76" ht="15.95" hidden="1" customHeight="1" x14ac:dyDescent="0.25">
      <c r="A25" s="800"/>
      <c r="B25" s="877">
        <v>35570</v>
      </c>
      <c r="C25" s="877">
        <f t="shared" si="15"/>
        <v>36560</v>
      </c>
      <c r="D25" s="882">
        <f t="shared" si="8"/>
        <v>37640</v>
      </c>
      <c r="E25" s="883">
        <v>37640</v>
      </c>
      <c r="F25" s="800"/>
      <c r="G25" s="911">
        <v>45139</v>
      </c>
      <c r="H25" s="776"/>
      <c r="I25" s="800"/>
      <c r="J25" s="886">
        <v>45383</v>
      </c>
      <c r="K25" s="877">
        <f t="shared" si="34"/>
        <v>54060</v>
      </c>
      <c r="L25" s="800"/>
      <c r="M25" s="887">
        <f>INDEX($J$17:$K$28,ROWS(J27:K$28),1)</f>
        <v>45597</v>
      </c>
      <c r="N25" s="10" t="str">
        <f t="shared" si="30"/>
        <v>INC 2</v>
      </c>
      <c r="O25" s="888">
        <f>INDEX($J$17:$K$28,ROWS(J27:K$28),2)</f>
        <v>55520</v>
      </c>
      <c r="P25" s="10" t="str">
        <f t="shared" si="0"/>
        <v/>
      </c>
      <c r="Q25" s="888">
        <f t="shared" si="1"/>
        <v>57100</v>
      </c>
      <c r="R25" s="888">
        <f t="shared" si="10"/>
        <v>55520</v>
      </c>
      <c r="S25" s="800"/>
      <c r="T25" s="853"/>
      <c r="U25" s="853"/>
      <c r="V25" s="853"/>
      <c r="W25" s="853"/>
      <c r="X25" s="853"/>
      <c r="Y25" s="778"/>
      <c r="Z25" s="778"/>
      <c r="AA25" s="800"/>
      <c r="AB25" s="887">
        <f>INDEX($J$17:$K$28,ROWS(X27:Y$28),1)</f>
        <v>45597</v>
      </c>
      <c r="AC25" s="906">
        <f t="shared" si="19"/>
        <v>2021</v>
      </c>
      <c r="AD25" s="906">
        <f t="shared" si="26"/>
        <v>202</v>
      </c>
      <c r="AE25" s="906">
        <f t="shared" si="21"/>
        <v>1819</v>
      </c>
      <c r="AF25" s="800"/>
      <c r="AG25" s="906">
        <f t="shared" si="28"/>
        <v>1515</v>
      </c>
      <c r="AH25" s="906">
        <f t="shared" si="31"/>
        <v>152</v>
      </c>
      <c r="AI25" s="906">
        <f t="shared" si="29"/>
        <v>1363</v>
      </c>
      <c r="AJ25" s="800"/>
      <c r="AK25" s="776"/>
      <c r="AM25" s="85" t="s">
        <v>674</v>
      </c>
      <c r="AN25" s="800"/>
      <c r="AO25" s="83" t="str">
        <f>DATA!M32</f>
        <v>80E     : Interest on Educational Loan</v>
      </c>
      <c r="AP25" s="894">
        <f>DATA!Q32</f>
        <v>0</v>
      </c>
      <c r="AR25" s="89" t="s">
        <v>675</v>
      </c>
      <c r="AS25" s="86">
        <f>IF(AND(DATA!D5="CPS",DATA!Q14="NO"),0,IF(AND(DATA!D5="CPS",DATA!Q14="YES"),AS22-AS24+DATA!Q13,IF(AND(DATA!D5="GPF",DATA!Q13&gt;0),DATA!Q13,AS22-AS24+DATA!Q13)))</f>
        <v>0</v>
      </c>
      <c r="AT25" s="88" t="s">
        <v>676</v>
      </c>
      <c r="AU25" s="894">
        <f>MIN(1000000,AP25)</f>
        <v>0</v>
      </c>
      <c r="AV25" s="895">
        <f>IF(KEY!$AZ$29="NEW",0,AU25)</f>
        <v>0</v>
      </c>
      <c r="AW25" s="800"/>
      <c r="AX25" s="776"/>
      <c r="AY25" s="376" t="s">
        <v>632</v>
      </c>
      <c r="AZ25" s="360" t="s">
        <v>632</v>
      </c>
      <c r="BA25" s="359">
        <v>0</v>
      </c>
      <c r="BB25" s="359">
        <v>0</v>
      </c>
      <c r="BC25" s="363">
        <v>0</v>
      </c>
      <c r="BE25" s="376" t="str">
        <f t="shared" ref="BE25:BI25" si="44">BE16</f>
        <v>Rs.2000001 - Rs.2400000</v>
      </c>
      <c r="BF25" s="360">
        <f t="shared" si="44"/>
        <v>0.25</v>
      </c>
      <c r="BG25" s="359">
        <f t="shared" si="44"/>
        <v>0</v>
      </c>
      <c r="BH25" s="359">
        <f t="shared" si="44"/>
        <v>0</v>
      </c>
      <c r="BI25" s="365">
        <f t="shared" si="44"/>
        <v>0</v>
      </c>
      <c r="BK25" s="376" t="str">
        <f t="shared" si="38"/>
        <v>Rs.2000001 - Rs.2400000</v>
      </c>
      <c r="BL25" s="360">
        <f t="shared" si="39"/>
        <v>0.25</v>
      </c>
      <c r="BM25" s="359">
        <f t="shared" si="39"/>
        <v>0</v>
      </c>
      <c r="BN25" s="359">
        <f t="shared" si="41"/>
        <v>0</v>
      </c>
      <c r="BO25" s="365">
        <f>IF(KEY!$BB$8&lt;=KEY!$BH$9,BC25,BI25)</f>
        <v>0</v>
      </c>
      <c r="BQ25" s="870"/>
      <c r="BR25" s="881"/>
      <c r="BS25" s="378"/>
      <c r="BT25" s="378"/>
      <c r="BU25" s="419"/>
      <c r="BV25" s="378"/>
      <c r="BW25" s="870"/>
      <c r="BX25" s="378"/>
    </row>
    <row r="26" spans="1:76" ht="15.95" hidden="1" customHeight="1" x14ac:dyDescent="0.25">
      <c r="A26" s="800"/>
      <c r="B26" s="877">
        <v>36560</v>
      </c>
      <c r="C26" s="877">
        <f t="shared" si="15"/>
        <v>37640</v>
      </c>
      <c r="D26" s="882">
        <f t="shared" si="8"/>
        <v>38720</v>
      </c>
      <c r="E26" s="883">
        <v>38720</v>
      </c>
      <c r="F26" s="800"/>
      <c r="G26" s="911">
        <v>45170</v>
      </c>
      <c r="H26" s="776"/>
      <c r="I26" s="800"/>
      <c r="J26" s="886">
        <v>45352</v>
      </c>
      <c r="K26" s="877">
        <f t="shared" si="34"/>
        <v>54060</v>
      </c>
      <c r="L26" s="800"/>
      <c r="M26" s="887">
        <f>INDEX($J$17:$K$28,ROWS(J28:K$28),1)</f>
        <v>45627</v>
      </c>
      <c r="N26" s="10" t="str">
        <f t="shared" si="30"/>
        <v/>
      </c>
      <c r="O26" s="888">
        <f>INDEX($J$17:$K$28,ROWS(J28:K$28),2)</f>
        <v>55520</v>
      </c>
      <c r="P26" s="10" t="str">
        <f t="shared" si="0"/>
        <v/>
      </c>
      <c r="Q26" s="888">
        <f t="shared" si="1"/>
        <v>57100</v>
      </c>
      <c r="R26" s="888">
        <f t="shared" si="10"/>
        <v>55520</v>
      </c>
      <c r="S26" s="800"/>
      <c r="T26" s="853"/>
      <c r="U26" s="853"/>
      <c r="V26" s="853"/>
      <c r="W26" s="853"/>
      <c r="X26" s="853"/>
      <c r="Y26" s="778"/>
      <c r="Z26" s="778"/>
      <c r="AA26" s="800"/>
      <c r="AB26" s="887">
        <f>INDEX($J$17:$K$28,ROWS(X28:Y$28),1)</f>
        <v>45627</v>
      </c>
      <c r="AC26" s="906">
        <f t="shared" si="19"/>
        <v>2021</v>
      </c>
      <c r="AD26" s="906">
        <f t="shared" si="26"/>
        <v>202</v>
      </c>
      <c r="AE26" s="906">
        <f t="shared" si="21"/>
        <v>1819</v>
      </c>
      <c r="AF26" s="800"/>
      <c r="AG26" s="906">
        <f t="shared" si="28"/>
        <v>1515</v>
      </c>
      <c r="AH26" s="906">
        <f t="shared" si="31"/>
        <v>152</v>
      </c>
      <c r="AI26" s="906">
        <f t="shared" si="29"/>
        <v>1363</v>
      </c>
      <c r="AJ26" s="800"/>
      <c r="AK26" s="776"/>
      <c r="AM26" s="85" t="s">
        <v>677</v>
      </c>
      <c r="AN26" s="800"/>
      <c r="AO26" s="83" t="str">
        <f>DATA!M33</f>
        <v>80TTA : Interest on Savings A/c.  (AGE &lt;= 60)</v>
      </c>
      <c r="AP26" s="894">
        <f>DATA!Q33</f>
        <v>0</v>
      </c>
      <c r="AR26" s="776"/>
      <c r="AS26" s="776"/>
      <c r="AT26" s="776"/>
      <c r="AU26" s="894">
        <f>IF(AGE&lt;=60,MIN(10000,AP26),MIN(50000,AP26))</f>
        <v>0</v>
      </c>
      <c r="AV26" s="895">
        <f>IF(KEY!$AZ$29="NEW",0,AU26)</f>
        <v>0</v>
      </c>
      <c r="AW26" s="800"/>
      <c r="AX26" s="776"/>
      <c r="AY26" s="376" t="s">
        <v>632</v>
      </c>
      <c r="AZ26" s="360"/>
      <c r="BA26" s="366">
        <f>SUM(BA20:BA25)</f>
        <v>792840</v>
      </c>
      <c r="BB26" s="366">
        <f>SUM(BB20:BB25)</f>
        <v>58568</v>
      </c>
      <c r="BC26" s="363"/>
      <c r="BE26" s="376" t="str">
        <f t="shared" ref="BE26:BH26" si="45">BE17</f>
        <v>Rs.2400000 &amp;    ABOVE</v>
      </c>
      <c r="BF26" s="360">
        <f t="shared" si="45"/>
        <v>0.3</v>
      </c>
      <c r="BG26" s="359">
        <f t="shared" si="45"/>
        <v>0</v>
      </c>
      <c r="BH26" s="359">
        <f t="shared" si="45"/>
        <v>0</v>
      </c>
      <c r="BI26" s="363"/>
      <c r="BK26" s="376" t="str">
        <f t="shared" si="38"/>
        <v>Rs.2400000 &amp;    ABOVE</v>
      </c>
      <c r="BL26" s="360">
        <f t="shared" si="39"/>
        <v>0.3</v>
      </c>
      <c r="BM26" s="359">
        <f t="shared" ref="BM26" si="46">IF($BM$36&lt;=$BN$36,BA26,BG26)</f>
        <v>0</v>
      </c>
      <c r="BN26" s="359">
        <f t="shared" si="41"/>
        <v>0</v>
      </c>
      <c r="BO26" s="363"/>
      <c r="BQ26" s="870"/>
      <c r="BR26" s="731" t="s">
        <v>44</v>
      </c>
      <c r="BS26" s="731" t="s">
        <v>678</v>
      </c>
      <c r="BT26" s="378"/>
      <c r="BU26" s="419"/>
      <c r="BV26" s="378"/>
      <c r="BW26" s="870"/>
      <c r="BX26" s="378"/>
    </row>
    <row r="27" spans="1:76" ht="15.95" hidden="1" customHeight="1" x14ac:dyDescent="0.25">
      <c r="A27" s="800"/>
      <c r="B27" s="917">
        <v>37640</v>
      </c>
      <c r="C27" s="877">
        <f t="shared" si="15"/>
        <v>38720</v>
      </c>
      <c r="D27" s="882">
        <f t="shared" si="8"/>
        <v>39800</v>
      </c>
      <c r="E27" s="883">
        <v>39800</v>
      </c>
      <c r="F27" s="800"/>
      <c r="G27" s="911">
        <v>45200</v>
      </c>
      <c r="H27" s="776"/>
      <c r="I27" s="800"/>
      <c r="J27" s="886">
        <v>45323</v>
      </c>
      <c r="K27" s="877">
        <f t="shared" si="34"/>
        <v>54060</v>
      </c>
      <c r="L27" s="800"/>
      <c r="M27" s="887">
        <f>INDEX($J$3:$K$16,ROWS(J3:K$16),1)</f>
        <v>45658</v>
      </c>
      <c r="N27" s="10" t="str">
        <f t="shared" ref="N27:N38" si="47">IF(VALUE($H$10)=VALUE(M27),$G$10, "")</f>
        <v/>
      </c>
      <c r="O27" s="888">
        <f>INDEX($J$3:$K$16,ROWS(J3:K$16),2)</f>
        <v>55520</v>
      </c>
      <c r="P27" s="10" t="str">
        <f t="shared" si="0"/>
        <v/>
      </c>
      <c r="Q27" s="888">
        <f t="shared" si="1"/>
        <v>57100</v>
      </c>
      <c r="R27" s="888">
        <f t="shared" si="10"/>
        <v>55520</v>
      </c>
      <c r="S27" s="800"/>
      <c r="T27" s="853"/>
      <c r="U27" s="853"/>
      <c r="V27" s="853"/>
      <c r="W27" s="853"/>
      <c r="X27" s="853"/>
      <c r="Y27" s="778"/>
      <c r="Z27" s="778"/>
      <c r="AA27" s="800"/>
      <c r="AB27" s="887">
        <f>INDEX($J$3:$K$16,ROWS(X3:Y$16),1)</f>
        <v>45658</v>
      </c>
      <c r="AC27" s="906">
        <f t="shared" si="19"/>
        <v>2021</v>
      </c>
      <c r="AD27" s="906">
        <f t="shared" si="26"/>
        <v>202</v>
      </c>
      <c r="AE27" s="906">
        <f t="shared" si="21"/>
        <v>1819</v>
      </c>
      <c r="AF27" s="800"/>
      <c r="AG27" s="906">
        <f t="shared" si="28"/>
        <v>1515</v>
      </c>
      <c r="AH27" s="906">
        <f t="shared" si="31"/>
        <v>152</v>
      </c>
      <c r="AI27" s="906">
        <f t="shared" si="29"/>
        <v>1363</v>
      </c>
      <c r="AJ27" s="800"/>
      <c r="AK27" s="776"/>
      <c r="AM27" s="85" t="s">
        <v>679</v>
      </c>
      <c r="AN27" s="800"/>
      <c r="AO27" s="83" t="str">
        <f>'ANNEXURE II'!D52</f>
        <v>Deduction for DISABLED (SELF) u/s 80U</v>
      </c>
      <c r="AP27" s="894">
        <f>DATA!Q34</f>
        <v>0</v>
      </c>
      <c r="AR27" s="776"/>
      <c r="AS27" s="776"/>
      <c r="AT27" s="776"/>
      <c r="AU27" s="894">
        <f>MIN(125000,AP27)</f>
        <v>0</v>
      </c>
      <c r="AV27" s="895">
        <f>IF(KEY!$AZ$29="NEW",0,AU27)</f>
        <v>0</v>
      </c>
      <c r="AW27" s="800"/>
      <c r="AX27" s="776"/>
      <c r="BG27" s="743">
        <f t="shared" ref="BG27:BH27" si="48">BG18</f>
        <v>903410</v>
      </c>
      <c r="BH27" s="743">
        <f t="shared" si="48"/>
        <v>30341</v>
      </c>
      <c r="BM27" s="366">
        <f>SUM(BM20:BM26)</f>
        <v>903410</v>
      </c>
      <c r="BN27" s="366">
        <f>SUM(BN20:BN26)</f>
        <v>30341</v>
      </c>
      <c r="BQ27" s="870"/>
      <c r="BR27" s="731" t="s">
        <v>680</v>
      </c>
      <c r="BS27" s="731" t="s">
        <v>681</v>
      </c>
      <c r="BT27" s="378"/>
      <c r="BU27" s="420"/>
      <c r="BV27" s="378"/>
      <c r="BW27" s="870"/>
      <c r="BX27" s="378"/>
    </row>
    <row r="28" spans="1:76" ht="15.95" hidden="1" customHeight="1" x14ac:dyDescent="0.25">
      <c r="A28" s="800"/>
      <c r="B28" s="917">
        <v>38720</v>
      </c>
      <c r="C28" s="877">
        <f t="shared" si="15"/>
        <v>39800</v>
      </c>
      <c r="D28" s="882">
        <f t="shared" si="8"/>
        <v>40970</v>
      </c>
      <c r="E28" s="883">
        <v>40970</v>
      </c>
      <c r="F28" s="800"/>
      <c r="G28" s="911">
        <v>45231</v>
      </c>
      <c r="H28" s="776"/>
      <c r="I28" s="800"/>
      <c r="J28" s="886">
        <v>45292</v>
      </c>
      <c r="K28" s="877">
        <f t="shared" si="34"/>
        <v>54060</v>
      </c>
      <c r="L28" s="800"/>
      <c r="M28" s="887">
        <f>INDEX($J$3:$K$16,ROWS(J4:K$16),1)</f>
        <v>45689</v>
      </c>
      <c r="N28" s="10" t="str">
        <f t="shared" si="47"/>
        <v/>
      </c>
      <c r="O28" s="888">
        <f>INDEX($J$3:$K$16,ROWS(J4:K$16),2)</f>
        <v>55520</v>
      </c>
      <c r="P28" s="10" t="str">
        <f t="shared" si="0"/>
        <v/>
      </c>
      <c r="Q28" s="888">
        <f t="shared" si="1"/>
        <v>57100</v>
      </c>
      <c r="R28" s="888">
        <f t="shared" si="10"/>
        <v>55520</v>
      </c>
      <c r="S28" s="800"/>
      <c r="T28" s="853"/>
      <c r="U28" s="853"/>
      <c r="V28" s="853"/>
      <c r="W28" s="853"/>
      <c r="X28" s="853"/>
      <c r="Y28" s="778"/>
      <c r="Z28" s="778"/>
      <c r="AA28" s="800"/>
      <c r="AB28" s="887">
        <f>INDEX($J$3:$K$16,ROWS(X4:Y$16),1)</f>
        <v>45689</v>
      </c>
      <c r="AC28" s="906">
        <f t="shared" si="19"/>
        <v>2021</v>
      </c>
      <c r="AD28" s="906">
        <f t="shared" si="26"/>
        <v>202</v>
      </c>
      <c r="AE28" s="906">
        <f t="shared" si="21"/>
        <v>1819</v>
      </c>
      <c r="AF28" s="800"/>
      <c r="AG28" s="906">
        <f t="shared" si="28"/>
        <v>1515</v>
      </c>
      <c r="AH28" s="906">
        <f t="shared" si="31"/>
        <v>152</v>
      </c>
      <c r="AI28" s="906">
        <f t="shared" si="29"/>
        <v>1363</v>
      </c>
      <c r="AJ28" s="800"/>
      <c r="AK28" s="776"/>
      <c r="AN28" s="800"/>
      <c r="AO28" s="83" t="str">
        <f>'ANNEXURE II'!D53</f>
        <v>Medical Insurance Premiums     80D</v>
      </c>
      <c r="AP28" s="894">
        <f>DATA!Q35</f>
        <v>0</v>
      </c>
      <c r="AR28" s="776"/>
      <c r="AS28" s="776"/>
      <c r="AT28" s="776"/>
      <c r="AU28" s="894">
        <f>MIN(50000,AP28)</f>
        <v>0</v>
      </c>
      <c r="AV28" s="895">
        <f>IF(KEY!$AZ$29="NEW",0,AU28)</f>
        <v>0</v>
      </c>
      <c r="AW28" s="800"/>
      <c r="AX28" s="776"/>
      <c r="AY28" s="1657" t="s">
        <v>682</v>
      </c>
      <c r="AZ28" s="1658"/>
      <c r="BA28" s="1658"/>
      <c r="BB28" s="1658"/>
      <c r="BC28" s="1659"/>
      <c r="BE28" s="918" t="s">
        <v>533</v>
      </c>
      <c r="BG28" s="391" t="s">
        <v>683</v>
      </c>
      <c r="BH28" s="391" t="s">
        <v>684</v>
      </c>
      <c r="BI28" s="391" t="s">
        <v>685</v>
      </c>
      <c r="BK28" s="393" t="s">
        <v>686</v>
      </c>
      <c r="BM28" s="392" t="s">
        <v>687</v>
      </c>
      <c r="BN28" s="392" t="s">
        <v>688</v>
      </c>
      <c r="BO28" s="389" t="str">
        <f>IF(DATA!D26="","OLD",DATA!D26)</f>
        <v>AUTO</v>
      </c>
      <c r="BQ28" s="870"/>
      <c r="BR28" s="731" t="s">
        <v>689</v>
      </c>
      <c r="BS28" s="731" t="s">
        <v>690</v>
      </c>
      <c r="BT28" s="378"/>
      <c r="BU28" s="420"/>
      <c r="BV28" s="378"/>
      <c r="BW28" s="870"/>
      <c r="BX28" s="378"/>
    </row>
    <row r="29" spans="1:76" ht="15.95" hidden="1" customHeight="1" x14ac:dyDescent="0.25">
      <c r="A29" s="800"/>
      <c r="B29" s="917">
        <v>39800</v>
      </c>
      <c r="C29" s="877">
        <f t="shared" si="15"/>
        <v>40970</v>
      </c>
      <c r="D29" s="882">
        <f t="shared" si="8"/>
        <v>42140</v>
      </c>
      <c r="E29" s="883">
        <v>42140</v>
      </c>
      <c r="F29" s="800"/>
      <c r="G29" s="911">
        <v>45261</v>
      </c>
      <c r="H29" s="776"/>
      <c r="I29" s="800"/>
      <c r="J29" s="886">
        <v>45261</v>
      </c>
      <c r="K29" s="877">
        <f>IF(VALUE(H9)=VALUE(J28),LOOKUP(H5,BP_2021,BP_2020),H5)</f>
        <v>54060</v>
      </c>
      <c r="L29" s="800"/>
      <c r="M29" s="887">
        <f>INDEX($J$3:$K$16,ROWS(J5:K$16),1)</f>
        <v>45717</v>
      </c>
      <c r="N29" s="10" t="str">
        <f t="shared" si="47"/>
        <v/>
      </c>
      <c r="O29" s="888">
        <f>INDEX($J$3:$K$16,ROWS(J5:K$16),2)</f>
        <v>55520</v>
      </c>
      <c r="P29" s="10" t="str">
        <f t="shared" si="0"/>
        <v/>
      </c>
      <c r="Q29" s="888">
        <f t="shared" si="1"/>
        <v>57100</v>
      </c>
      <c r="R29" s="888">
        <f t="shared" si="10"/>
        <v>55520</v>
      </c>
      <c r="S29" s="800"/>
      <c r="T29" s="853"/>
      <c r="U29" s="853"/>
      <c r="V29" s="853"/>
      <c r="W29" s="853"/>
      <c r="X29" s="853"/>
      <c r="Y29" s="778"/>
      <c r="Z29" s="778"/>
      <c r="AA29" s="800"/>
      <c r="AB29" s="887">
        <f>INDEX($J$3:$K$16,ROWS(X5:Y$16),1)</f>
        <v>45717</v>
      </c>
      <c r="AC29" s="906">
        <f t="shared" ref="AC29:AC32" si="49">IF($AE$2&lt;M29, 0, ROUND(R29*$AE$5*100%,0) - ROUND(R29*$AE$4*100%,0))</f>
        <v>2021</v>
      </c>
      <c r="AD29" s="906">
        <f t="shared" ref="AD29:AD32" si="50">IF(AC29=0,0,ROUND((R29*$AE$5*10%)-(R29*$AE$4*10%),0))</f>
        <v>202</v>
      </c>
      <c r="AE29" s="906">
        <f t="shared" ref="AE29:AE32" si="51">AC29-AD29</f>
        <v>1819</v>
      </c>
      <c r="AF29" s="800"/>
      <c r="AG29" s="906">
        <f t="shared" si="28"/>
        <v>1515</v>
      </c>
      <c r="AH29" s="906">
        <f t="shared" si="31"/>
        <v>152</v>
      </c>
      <c r="AI29" s="906">
        <f t="shared" si="29"/>
        <v>1363</v>
      </c>
      <c r="AJ29" s="800"/>
      <c r="AK29" s="776"/>
      <c r="AN29" s="800"/>
      <c r="AO29" s="83" t="str">
        <f>'ANNEXURE II'!D54</f>
        <v>Donations of Charitable Trust    80G</v>
      </c>
      <c r="AP29" s="894">
        <f>DATA!Q36</f>
        <v>0</v>
      </c>
      <c r="AR29" s="776"/>
      <c r="AS29" s="776"/>
      <c r="AT29" s="776"/>
      <c r="AU29" s="894">
        <f>AP29</f>
        <v>0</v>
      </c>
      <c r="AV29" s="895">
        <f>IF(KEY!$AZ$29="NEW",0,AU29)</f>
        <v>0</v>
      </c>
      <c r="AW29" s="800"/>
      <c r="AX29" s="776"/>
      <c r="AY29" s="394" t="str">
        <f>IF(AND(AGE&lt;=60,DATA!$D$26="OLD"),AY1,IF(AND(AGE&lt;=60,DATA!$D$26="NEW"),BE1,IF(AND(AGE&lt;=60,DATA!$D$26="AUTO"),BK1,
IF(AND(AGE&gt;60,AGE&lt;=80,DATA!$D$26="OLD"),AY10,IF(AND(AGE&gt;60,AGE&lt;=80,DATA!$D$26="NEW"),BE10,IF(AND(AGE&gt;60,AGE&lt;=80,DATA!$D$26="AUTO"),KEY!BK10,IF(AND(AGE&gt;80,DATA!$D$26="OLD"),AY19,IF(AND(AGE&gt;80,DATA!$D$26="NEW"),BE19,IF(AND(AGE&gt;80,DATA!$D$26="AUTO"),BK19,AY1)))))))))</f>
        <v>AUTOMATIC</v>
      </c>
      <c r="AZ29" s="395" t="str">
        <f>IF(DATA!D26="",BEST,IF(DATA!D26="AUTO",BEST,DATA!D26))</f>
        <v>NEW</v>
      </c>
      <c r="BA29" s="1656" t="str">
        <f>IF(AGE&lt;=60,BA1,IF(AGE&gt;80,BA19,IF(AND(AGE&gt;60,AGE&lt;=80),BA10,BA1)))</f>
        <v xml:space="preserve">AGE &lt;=60 </v>
      </c>
      <c r="BB29" s="1656"/>
      <c r="BC29" s="396" t="s">
        <v>589</v>
      </c>
      <c r="BE29" s="919" t="s">
        <v>691</v>
      </c>
      <c r="BG29" s="387">
        <f>$BS$11</f>
        <v>792840</v>
      </c>
      <c r="BH29" s="387">
        <f>$BS$11</f>
        <v>792840</v>
      </c>
      <c r="BI29" s="387">
        <f>$BS$11</f>
        <v>792840</v>
      </c>
      <c r="BK29" s="387">
        <f>IF(DATA!$D$26="OLD",BM29,IF(DATA!$D$26="NEW",BN29,IF(DATA!$D$26="AUTO",MIN(BM29,BN29))))</f>
        <v>792840</v>
      </c>
      <c r="BM29" s="387">
        <f t="shared" ref="BM29:BM35" si="52">IF(AGE&lt;=60,BG29,IF(AND(AGE&gt;60,AGE&lt;=80),BH29,IF(AGE&gt;80,BI29,BG29)))</f>
        <v>792840</v>
      </c>
      <c r="BN29" s="387">
        <f>BS10</f>
        <v>903410</v>
      </c>
      <c r="BO29" s="399" t="s">
        <v>692</v>
      </c>
      <c r="BQ29" s="870"/>
      <c r="BR29" s="870"/>
      <c r="BS29" s="379"/>
      <c r="BT29" s="379"/>
      <c r="BU29" s="420"/>
      <c r="BV29" s="378"/>
      <c r="BW29" s="870"/>
      <c r="BX29" s="378"/>
    </row>
    <row r="30" spans="1:76" ht="15.95" hidden="1" customHeight="1" x14ac:dyDescent="0.25">
      <c r="A30" s="800"/>
      <c r="B30" s="917">
        <v>40970</v>
      </c>
      <c r="C30" s="877">
        <f t="shared" si="15"/>
        <v>42140</v>
      </c>
      <c r="D30" s="882">
        <f t="shared" si="8"/>
        <v>43310</v>
      </c>
      <c r="E30" s="883">
        <v>43310</v>
      </c>
      <c r="F30" s="800"/>
      <c r="G30" s="911" t="s">
        <v>25</v>
      </c>
      <c r="H30" s="776"/>
      <c r="I30" s="800"/>
      <c r="J30" s="886">
        <v>45231</v>
      </c>
      <c r="K30" s="877">
        <f t="shared" ref="K30:K39" si="53">IF(VALUE($H$8)&gt;VALUE(J30),LOOKUP($H$5,BP_2021,BP_2020),K29)</f>
        <v>54060</v>
      </c>
      <c r="L30" s="800"/>
      <c r="M30" s="887">
        <f>INDEX($J$3:$K$16,ROWS(J6:K$16),1)</f>
        <v>45748</v>
      </c>
      <c r="N30" s="10" t="str">
        <f t="shared" si="47"/>
        <v/>
      </c>
      <c r="O30" s="888">
        <f>INDEX($J$3:$K$16,ROWS(J6:K$16),2)</f>
        <v>55520</v>
      </c>
      <c r="P30" s="10" t="str">
        <f>IF(VALUE($H$11)=VALUE(M30),$G$11, "")</f>
        <v/>
      </c>
      <c r="Q30" s="888">
        <f t="shared" si="1"/>
        <v>57100</v>
      </c>
      <c r="R30" s="888">
        <f t="shared" si="10"/>
        <v>55520</v>
      </c>
      <c r="S30" s="800"/>
      <c r="T30" s="853"/>
      <c r="U30" s="853"/>
      <c r="V30" s="853"/>
      <c r="W30" s="853"/>
      <c r="X30" s="853"/>
      <c r="Y30" s="778"/>
      <c r="Z30" s="778"/>
      <c r="AA30" s="800"/>
      <c r="AB30" s="887">
        <f>INDEX($J$3:$K$16,ROWS(X6:Y$16),1)</f>
        <v>45748</v>
      </c>
      <c r="AC30" s="906">
        <f t="shared" si="49"/>
        <v>2021</v>
      </c>
      <c r="AD30" s="906">
        <f t="shared" si="50"/>
        <v>202</v>
      </c>
      <c r="AE30" s="906">
        <f t="shared" si="51"/>
        <v>1819</v>
      </c>
      <c r="AF30" s="800"/>
      <c r="AG30" s="906">
        <f t="shared" si="28"/>
        <v>1515</v>
      </c>
      <c r="AH30" s="906">
        <f t="shared" si="31"/>
        <v>152</v>
      </c>
      <c r="AI30" s="906">
        <f t="shared" si="29"/>
        <v>1363</v>
      </c>
      <c r="AJ30" s="800"/>
      <c r="AK30" s="776"/>
      <c r="AN30" s="800"/>
      <c r="AO30" s="83" t="str">
        <f>'ANNEXURE II'!D55</f>
        <v>Employee Health Scheme (EHS) 80D</v>
      </c>
      <c r="AP30" s="894">
        <f>'ANNEXURE I'!U27</f>
        <v>2700</v>
      </c>
      <c r="AR30" s="776"/>
      <c r="AS30" s="776"/>
      <c r="AT30" s="776"/>
      <c r="AU30" s="894">
        <f>MIN(50000,AP30)</f>
        <v>2700</v>
      </c>
      <c r="AV30" s="895">
        <f>IF(KEY!$AZ$29="NEW",0,AU30)</f>
        <v>0</v>
      </c>
      <c r="AW30" s="800"/>
      <c r="AX30" s="776"/>
      <c r="AY30" s="376" t="str">
        <f>IF(AND(AGE&lt;=60,DATA!$D$26="OLD"),AY2,IF(AND(AGE&lt;=60,DATA!$D$26="NEW"),BE2,IF(AND(AGE&lt;=60,DATA!$D$26="AUTO"),BK2,
IF(AND(AGE&gt;60,AGE&lt;=80,DATA!$D$26="OLD"),AY11,IF(AND(AGE&gt;60,AGE&lt;=80,DATA!$D$26="NEW"),BE11,IF(AND(AGE&gt;60,AGE&lt;=80,DATA!$D$26="AUTO"),KEY!BK11,
IF(AND(AGE&gt;80,DATA!$D$26="OLD"),AY20,IF(AND(AGE&gt;80,DATA!$D$26="NEW"),BE20,IF(AND(AGE&gt;80,DATA!$D$26="AUTO"),BK20,AY2)))))))))</f>
        <v>Rs.   000000 - Rs.  400000</v>
      </c>
      <c r="AZ30" s="360">
        <f>IF(AND(AGE&lt;=60,DATA!$D$26="OLD"),AZ2,IF(AND(AGE&lt;=60,DATA!$D$26="NEW"),BF2,IF(AND(AGE&lt;=60,DATA!$D$26="AUTO"),BL2,
IF(AND(AGE&gt;60,AGE&lt;=80,DATA!$D$26="OLD"),AZ11,IF(AND(AGE&gt;60,AGE&lt;=80,DATA!$D$26="NEW"),BF11,IF(AND(AGE&gt;60,AGE&lt;=80,DATA!$D$26="AUTO"),BL11,
IF(AND(AGE&gt;80,DATA!$D$26="OLD"),AZ20,IF(AND(AGE&gt;80,DATA!$D$26="NEW"),BF20,IF(AND(AGE&gt;80,DATA!$D$26="AUTO"),BL20,AZ2)))))))))</f>
        <v>0</v>
      </c>
      <c r="BA30" s="359">
        <f>IF(AND(AGE&lt;=60,DATA!$D$26="OLD"),BA2,IF(AND(AGE&lt;=60,DATA!$D$26="NEW"),BG2,IF(AND(AGE&lt;=60,DATA!$D$26="AUTO"),BM2,
IF(AND(AGE&gt;60,AGE&lt;=80,DATA!$D$26="OLD"),BA11,IF(AND(AGE&gt;60,AGE&lt;=80,DATA!$D$26="NEW"),BG11,IF(AND(AGE&gt;60,AGE&lt;=80,DATA!$D$26="AUTO"),BM11,
IF(AND(AGE&gt;80,DATA!$D$26="OLD"),BA20,IF(AND(AGE&gt;80,DATA!$D$26="NEW"),BG20,IF(AND(AGE&gt;80,DATA!$D$26="AUTO"),BM20,BA2)))))))))</f>
        <v>400000</v>
      </c>
      <c r="BB30" s="359">
        <f>IF(AND(AGE&lt;=60,DATA!$D$26="OLD"),BB2,IF(AND(AGE&lt;=60,DATA!$D$26="NEW"),BH2,IF(AND(AGE&lt;=60,DATA!$D$26="AUTO"),BH2,
IF(AND(AGE&gt;60,AGE&lt;=80,DATA!$D$26="OLD"),BB11,IF(AND(AGE&gt;60,AGE&lt;=80,DATA!$D$26="NEW"),BH11,IF(AND(AGE&gt;60,AGE&lt;=80,DATA!$D$26="AUTO"),KEY!BN11,IF(AND(AGE&gt;80,DATA!$D$26="OLD"),BB20,IF(AND(AGE&gt;80,DATA!$D$26="NEW"),BH20,IF(AND(AGE&gt;80,DATA!$D$26="AUTO"),BN20,BB2)))))))))</f>
        <v>0</v>
      </c>
      <c r="BC30" s="361">
        <f>IF(AND(AGE&lt;=60,DATA!$D$26="OLD"),BC2,IF(AND(AGE&lt;=60,DATA!$D$26="NEW"),BI2,IF(AND(AGE&lt;=60,DATA!$D$26="AUTO"),BO2,
   IF(AND(AGE&gt;60,AGE&lt;=80,DATA!$D$26="OLD"),BC11,IF(AND(AGE&gt;60,AGE&lt;=80,DATA!$D$26="NEW"),BI11,
   IF(AND(AGE&gt;60,AGE&lt;=80,DATA!$D$26="AUTO"),BO11,
   IF(AND(AGE&gt;80,DATA!$D$26="OLD"),BC20,IF(AND(AGE&gt;80,DATA!$D$26="NEW"),BI20,IF(AND(AGE&gt;80,DATA!$D$26="AUTO"),BO20,BC2)))))))))</f>
        <v>0</v>
      </c>
      <c r="BE30" s="380" t="s">
        <v>18</v>
      </c>
      <c r="BG30" s="383">
        <f>BB8</f>
        <v>71068</v>
      </c>
      <c r="BH30" s="383">
        <f>BB17</f>
        <v>68568</v>
      </c>
      <c r="BI30" s="383">
        <f>BB26</f>
        <v>58568</v>
      </c>
      <c r="BK30" s="387">
        <f>IF('ANNEXURE I'!$B$2="OLD",BM30,BN30)</f>
        <v>30341</v>
      </c>
      <c r="BM30" s="387">
        <f>IF(AGE&lt;=60,BG30,IF(AND(AGE&gt;60,AGE&lt;=80),BH30,IF(AGE&gt;80,BI30,BG30)))</f>
        <v>71068</v>
      </c>
      <c r="BN30" s="383">
        <f>BH9</f>
        <v>30341</v>
      </c>
      <c r="BQ30" s="870"/>
      <c r="BR30" s="870"/>
      <c r="BS30" s="870"/>
      <c r="BT30" s="870"/>
      <c r="BU30" s="871"/>
      <c r="BV30" s="870"/>
      <c r="BW30" s="870"/>
      <c r="BX30" s="371"/>
    </row>
    <row r="31" spans="1:76" ht="15.95" hidden="1" customHeight="1" x14ac:dyDescent="0.25">
      <c r="A31" s="800"/>
      <c r="B31" s="917">
        <v>42140</v>
      </c>
      <c r="C31" s="877">
        <f t="shared" si="15"/>
        <v>43310</v>
      </c>
      <c r="D31" s="882">
        <f t="shared" si="8"/>
        <v>44570</v>
      </c>
      <c r="E31" s="883">
        <v>44570</v>
      </c>
      <c r="F31" s="800"/>
      <c r="G31" s="911">
        <v>45292</v>
      </c>
      <c r="H31" s="776"/>
      <c r="I31" s="800"/>
      <c r="J31" s="886">
        <v>45200</v>
      </c>
      <c r="K31" s="877">
        <f t="shared" si="53"/>
        <v>52600</v>
      </c>
      <c r="L31" s="800"/>
      <c r="M31" s="887">
        <f>INDEX($J$3:$K$16,ROWS(J7:K$16),1)</f>
        <v>45778</v>
      </c>
      <c r="N31" s="10" t="str">
        <f t="shared" si="47"/>
        <v/>
      </c>
      <c r="O31" s="888">
        <f>INDEX($J$3:$K$16,ROWS(J7:K$16),2)</f>
        <v>55520</v>
      </c>
      <c r="P31" s="10" t="str">
        <f t="shared" si="0"/>
        <v/>
      </c>
      <c r="Q31" s="888">
        <f t="shared" si="1"/>
        <v>57100</v>
      </c>
      <c r="R31" s="888">
        <f t="shared" si="10"/>
        <v>55520</v>
      </c>
      <c r="S31" s="800"/>
      <c r="T31" s="853"/>
      <c r="U31" s="853"/>
      <c r="V31" s="853"/>
      <c r="W31" s="853"/>
      <c r="X31" s="853"/>
      <c r="Y31" s="778"/>
      <c r="Z31" s="778"/>
      <c r="AA31" s="800"/>
      <c r="AB31" s="887">
        <f>INDEX($J$3:$K$16,ROWS(X7:Y$16),1)</f>
        <v>45778</v>
      </c>
      <c r="AC31" s="906">
        <f t="shared" si="49"/>
        <v>2021</v>
      </c>
      <c r="AD31" s="906">
        <f t="shared" si="50"/>
        <v>202</v>
      </c>
      <c r="AE31" s="906">
        <f t="shared" si="51"/>
        <v>1819</v>
      </c>
      <c r="AF31" s="800"/>
      <c r="AG31" s="906">
        <f t="shared" si="28"/>
        <v>1515</v>
      </c>
      <c r="AH31" s="906">
        <f t="shared" si="31"/>
        <v>152</v>
      </c>
      <c r="AI31" s="906">
        <f t="shared" si="29"/>
        <v>1363</v>
      </c>
      <c r="AJ31" s="800"/>
      <c r="AK31" s="776"/>
      <c r="AN31" s="800"/>
      <c r="AO31" s="82"/>
      <c r="AP31" s="776"/>
      <c r="AR31" s="776"/>
      <c r="AS31" s="776"/>
      <c r="AT31" s="776"/>
      <c r="AU31" s="776"/>
      <c r="AV31" s="776"/>
      <c r="AW31" s="800"/>
      <c r="AX31" s="776"/>
      <c r="AY31" s="376" t="str">
        <f>IF(AND(AGE&lt;=60,DATA!$D$26="OLD"),AY3,IF(AND(AGE&lt;=60,DATA!$D$26="NEW"),BE3,IF(AND(AGE&lt;=60,DATA!$D$26="AUTO"),BK3,
IF(AND(AGE&gt;60,AGE&lt;=80,DATA!$D$26="OLD"),AY12,IF(AND(AGE&gt;60,AGE&lt;=80,DATA!$D$26="NEW"),BE12,IF(AND(AGE&gt;60,AGE&lt;=80,DATA!$D$26="AUTO"),KEY!BK12,IF(AND(AGE&gt;80,DATA!$D$26="OLD"),AY21,IF(AND(AGE&gt;80,DATA!$D$26="NEW"),BE21,IF(AND(AGE&gt;80,DATA!$D$26="AUTO"),BK21,AY3)))))))))</f>
        <v>Rs.   400001 - Rs.  800000</v>
      </c>
      <c r="AZ31" s="360">
        <f>IF(AND(AGE&lt;=60,DATA!$D$26="OLD"),AZ3,IF(AND(AGE&lt;=60,DATA!$D$26="NEW"),BF3,IF(AND(AGE&lt;=60,DATA!$D$26="AUTO"),BL3,
IF(AND(AGE&gt;60,AGE&lt;=80,DATA!$D$26="OLD"),AZ12,IF(AND(AGE&gt;60,AGE&lt;=80,DATA!$D$26="NEW"),BF12,IF(AND(AGE&gt;60,AGE&lt;=80,DATA!$D$26="AUTO"),BL12,
IF(AND(AGE&gt;80,DATA!$D$26="OLD"),AZ21,IF(AND(AGE&gt;80,DATA!$D$26="NEW"),BF21,IF(AND(AGE&gt;80,DATA!$D$26="AUTO"),BL21,AZ3)))))))))</f>
        <v>0.05</v>
      </c>
      <c r="BA31" s="359">
        <f>IF(AND(AGE&lt;=60,DATA!$D$26="OLD"),BA3,IF(AND(AGE&lt;=60,DATA!$D$26="NEW"),BG3,IF(AND(AGE&lt;=60,DATA!$D$26="AUTO"),BM3,
IF(AND(AGE&gt;60,AGE&lt;=80,DATA!$D$26="OLD"),BA12,IF(AND(AGE&gt;60,AGE&lt;=80,DATA!$D$26="NEW"),BG12,IF(AND(AGE&gt;60,AGE&lt;=80,DATA!$D$26="AUTO"),BM12,
IF(AND(AGE&gt;80,DATA!$D$26="OLD"),BA21,IF(AND(AGE&gt;80,DATA!$D$26="NEW"),BG21,IF(AND(AGE&gt;80,DATA!$D$26="AUTO"),BM21,BA3)))))))))</f>
        <v>400000</v>
      </c>
      <c r="BB31" s="359">
        <f>IF(AND(AGE&lt;=60,DATA!$D$26="OLD"),BB3,IF(AND(AGE&lt;=60,DATA!$D$26="NEW"),BH3,IF(AND(AGE&lt;=60,DATA!$D$26="AUTO"),BH3,
IF(AND(AGE&gt;60,AGE&lt;=80,DATA!$D$26="OLD"),BB12,IF(AND(AGE&gt;60,AGE&lt;=80,DATA!$D$26="NEW"),BH12,IF(AND(AGE&gt;60,AGE&lt;=80,DATA!$D$26="AUTO"),KEY!BN12,IF(AND(AGE&gt;80,DATA!$D$26="OLD"),BB21,IF(AND(AGE&gt;80,DATA!$D$26="NEW"),BH21,IF(AND(AGE&gt;80,DATA!$D$26="AUTO"),BN21,BB3)))))))))</f>
        <v>20000</v>
      </c>
      <c r="BC31" s="361">
        <f>IF(AND(AGE&lt;=60,DATA!$D$26="OLD"),BC3,IF(AND(AGE&lt;=60,DATA!$D$26="NEW"),BI3,IF(AND(AGE&lt;=60,DATA!$D$26="AUTO"),BO3,
   IF(AND(AGE&gt;60,AGE&lt;=80,DATA!$D$26="OLD"),BC12,IF(AND(AGE&gt;60,AGE&lt;=80,DATA!$D$26="NEW"),BI12,
   IF(AND(AGE&gt;60,AGE&lt;=80,DATA!$D$26="AUTO"),BO12,
   IF(AND(AGE&gt;80,DATA!$D$26="OLD"),BC21,IF(AND(AGE&gt;80,DATA!$D$26="NEW"),BI21,IF(AND(AGE&gt;80,DATA!$D$26="AUTO"),BO21,BC3)))))))))</f>
        <v>0</v>
      </c>
      <c r="BE31" s="398" t="s">
        <v>693</v>
      </c>
      <c r="BG31" s="383">
        <f>IF(BG29&lt;=500000,MIN(BG30,12500),0)</f>
        <v>0</v>
      </c>
      <c r="BH31" s="383">
        <f>IF(BH29&lt;=500000,MIN(BH30,12500),0)</f>
        <v>0</v>
      </c>
      <c r="BI31" s="383">
        <f>IF(BI29&lt;=500000,MIN(BI30,12500),0)</f>
        <v>0</v>
      </c>
      <c r="BK31" s="387">
        <f>IF('ANNEXURE I'!$B$2="OLD",BM31,BN31)</f>
        <v>30341</v>
      </c>
      <c r="BM31" s="387">
        <f>IF(AGE&lt;=60,BG31,IF(AND(AGE&gt;60,AGE&lt;=80),BH31,IF(AGE&gt;80,BI31,BG31)))</f>
        <v>0</v>
      </c>
      <c r="BN31" s="383">
        <f>IF(BS10&gt;1200000,MAX(BH27-BS10+1200000,0),MIN(BH27,60000))</f>
        <v>30341</v>
      </c>
      <c r="BO31" s="377"/>
      <c r="BQ31" s="870"/>
      <c r="BR31" s="870"/>
      <c r="BS31" s="870"/>
      <c r="BT31" s="881"/>
      <c r="BU31" s="916"/>
      <c r="BV31" s="881"/>
      <c r="BW31" s="870"/>
      <c r="BX31" s="881"/>
    </row>
    <row r="32" spans="1:76" ht="15.95" hidden="1" customHeight="1" x14ac:dyDescent="0.25">
      <c r="A32" s="800"/>
      <c r="B32" s="917">
        <v>43310</v>
      </c>
      <c r="C32" s="877">
        <f t="shared" si="15"/>
        <v>44570</v>
      </c>
      <c r="D32" s="882">
        <f t="shared" si="8"/>
        <v>45830</v>
      </c>
      <c r="E32" s="883">
        <v>45830</v>
      </c>
      <c r="F32" s="800"/>
      <c r="G32" s="911">
        <v>45323</v>
      </c>
      <c r="H32" s="776"/>
      <c r="I32" s="800"/>
      <c r="J32" s="886">
        <v>45170</v>
      </c>
      <c r="K32" s="877">
        <f t="shared" si="53"/>
        <v>52600</v>
      </c>
      <c r="L32" s="800"/>
      <c r="M32" s="887">
        <f>INDEX($J$3:$K$16,ROWS(J8:K$16),1)</f>
        <v>45809</v>
      </c>
      <c r="N32" s="10" t="str">
        <f t="shared" si="47"/>
        <v/>
      </c>
      <c r="O32" s="888">
        <f>INDEX($J$3:$K$16,ROWS(J8:K$16),2)</f>
        <v>55520</v>
      </c>
      <c r="P32" s="10" t="str">
        <f t="shared" si="0"/>
        <v/>
      </c>
      <c r="Q32" s="888">
        <f t="shared" si="1"/>
        <v>57100</v>
      </c>
      <c r="R32" s="888">
        <f t="shared" si="10"/>
        <v>55520</v>
      </c>
      <c r="S32" s="800"/>
      <c r="T32" s="853"/>
      <c r="U32" s="853"/>
      <c r="V32" s="853"/>
      <c r="W32" s="853"/>
      <c r="X32" s="853"/>
      <c r="Y32" s="778"/>
      <c r="Z32" s="778"/>
      <c r="AA32" s="800"/>
      <c r="AB32" s="887">
        <f>INDEX($J$3:$K$16,ROWS(X8:Y$16),1)</f>
        <v>45809</v>
      </c>
      <c r="AC32" s="906">
        <f t="shared" si="49"/>
        <v>2021</v>
      </c>
      <c r="AD32" s="906">
        <f t="shared" si="50"/>
        <v>202</v>
      </c>
      <c r="AE32" s="906">
        <f t="shared" si="51"/>
        <v>1819</v>
      </c>
      <c r="AF32" s="800"/>
      <c r="AG32" s="906">
        <f t="shared" si="28"/>
        <v>1515</v>
      </c>
      <c r="AH32" s="906">
        <f t="shared" si="31"/>
        <v>152</v>
      </c>
      <c r="AI32" s="906">
        <f t="shared" si="29"/>
        <v>1363</v>
      </c>
      <c r="AJ32" s="800"/>
      <c r="AK32" s="776"/>
      <c r="AN32" s="800"/>
      <c r="AO32" s="83" t="str">
        <f>'ANNEXURE II'!C8</f>
        <v>HRA Exemption as per eligibility U/s 10(13A)</v>
      </c>
      <c r="AP32" s="894">
        <f>'ANNEXURE II'!X10</f>
        <v>8665</v>
      </c>
      <c r="AR32" s="776"/>
      <c r="AS32" s="776"/>
      <c r="AT32" s="776"/>
      <c r="AU32" s="894">
        <f>AP32</f>
        <v>8665</v>
      </c>
      <c r="AV32" s="895">
        <f>IF(KEY!$AZ$29="NEW",0,AU32)</f>
        <v>0</v>
      </c>
      <c r="AW32" s="800"/>
      <c r="AX32" s="776"/>
      <c r="AY32" s="376" t="str">
        <f>IF(AND(AGE&lt;=60,DATA!$D$26="OLD"),AY4,IF(AND(AGE&lt;=60,DATA!$D$26="NEW"),BE4,IF(AND(AGE&lt;=60,DATA!$D$26="AUTO"),BK4,
IF(AND(AGE&gt;60,AGE&lt;=80,DATA!$D$26="OLD"),AY13,IF(AND(AGE&gt;60,AGE&lt;=80,DATA!$D$26="NEW"),BE13,IF(AND(AGE&gt;60,AGE&lt;=80,DATA!$D$26="AUTO"),KEY!BK13,IF(AND(AGE&gt;80,DATA!$D$26="OLD"),AY22,IF(AND(AGE&gt;80,DATA!$D$26="NEW"),BE22,IF(AND(AGE&gt;80,DATA!$D$26="AUTO"),BK22,AY4)))))))))</f>
        <v>Rs.   800001 - Rs. 1200000</v>
      </c>
      <c r="AZ32" s="360">
        <f>IF(AND(AGE&lt;=60,DATA!$D$26="OLD"),AZ4,IF(AND(AGE&lt;=60,DATA!$D$26="NEW"),BF4,IF(AND(AGE&lt;=60,DATA!$D$26="AUTO"),BL4,
IF(AND(AGE&gt;60,AGE&lt;=80,DATA!$D$26="OLD"),AZ13,IF(AND(AGE&gt;60,AGE&lt;=80,DATA!$D$26="NEW"),BF13,IF(AND(AGE&gt;60,AGE&lt;=80,DATA!$D$26="AUTO"),BL13,
IF(AND(AGE&gt;80,DATA!$D$26="OLD"),AZ22,IF(AND(AGE&gt;80,DATA!$D$26="NEW"),BF22,IF(AND(AGE&gt;80,DATA!$D$26="AUTO"),BL22,AZ4)))))))))</f>
        <v>0.1</v>
      </c>
      <c r="BA32" s="359">
        <f>IF(AND(AGE&lt;=60,DATA!$D$26="OLD"),BA4,IF(AND(AGE&lt;=60,DATA!$D$26="NEW"),BG4,IF(AND(AGE&lt;=60,DATA!$D$26="AUTO"),BM4,
IF(AND(AGE&gt;60,AGE&lt;=80,DATA!$D$26="OLD"),BA13,IF(AND(AGE&gt;60,AGE&lt;=80,DATA!$D$26="NEW"),BG13,IF(AND(AGE&gt;60,AGE&lt;=80,DATA!$D$26="AUTO"),BM13,
IF(AND(AGE&gt;80,DATA!$D$26="OLD"),BA22,IF(AND(AGE&gt;80,DATA!$D$26="NEW"),BG22,IF(AND(AGE&gt;80,DATA!$D$26="AUTO"),BM22,BA4)))))))))</f>
        <v>103410</v>
      </c>
      <c r="BB32" s="359">
        <f>IF(AND(AGE&lt;=60,DATA!$D$26="OLD"),BB4,IF(AND(AGE&lt;=60,DATA!$D$26="NEW"),BH4,IF(AND(AGE&lt;=60,DATA!$D$26="AUTO"),BH4,
IF(AND(AGE&gt;60,AGE&lt;=80,DATA!$D$26="OLD"),BB13,IF(AND(AGE&gt;60,AGE&lt;=80,DATA!$D$26="NEW"),BH13,IF(AND(AGE&gt;60,AGE&lt;=80,DATA!$D$26="AUTO"),KEY!BN13,IF(AND(AGE&gt;80,DATA!$D$26="OLD"),BB22,IF(AND(AGE&gt;80,DATA!$D$26="NEW"),BH22,IF(AND(AGE&gt;80,DATA!$D$26="AUTO"),BN22,BB4)))))))))</f>
        <v>10341</v>
      </c>
      <c r="BC32" s="361">
        <f>IF(AND(AGE&lt;=60,DATA!$D$26="OLD"),BC4,IF(AND(AGE&lt;=60,DATA!$D$26="NEW"),BI4,IF(AND(AGE&lt;=60,DATA!$D$26="AUTO"),BO4,
   IF(AND(AGE&gt;60,AGE&lt;=80,DATA!$D$26="OLD"),BC13,IF(AND(AGE&gt;60,AGE&lt;=80,DATA!$D$26="NEW"),BI13,
   IF(AND(AGE&gt;60,AGE&lt;=80,DATA!$D$26="AUTO"),BO13,
   IF(AND(AGE&gt;80,DATA!$D$26="OLD"),BC22,IF(AND(AGE&gt;80,DATA!$D$26="NEW"),BI22,IF(AND(AGE&gt;80,DATA!$D$26="AUTO"),BO22,BC4)))))))))</f>
        <v>0</v>
      </c>
      <c r="BE32" s="380" t="s">
        <v>694</v>
      </c>
      <c r="BG32" s="383">
        <f>IF(AND(BG29&gt;5000000,BG29&lt;=10000000),ROUND(BG30*10%,0),
IF(AND(BG29&gt;10000000,BG29&lt;=20000000),ROUND(BG30*15%,0),
IF(AND(BG29&gt;20000000,BG29&lt;=50000000),ROUND(BG30*25%,0),
IF(AND(BG29&gt;5000000),ROUND(BG30*37%,0),0))))</f>
        <v>0</v>
      </c>
      <c r="BH32" s="383">
        <f t="shared" ref="BH32:BI32" si="54">IF(AND(BH29&gt;5000000,BH29&lt;=10000000),ROUND(BH30*10%,0),
IF(AND(BH29&gt;10000000,BH29&lt;=20000000),ROUND(BH30*15%,0),
IF(AND(BH29&gt;20000000,BH29&lt;=50000000),ROUND(BH30*25%,0),
IF(AND(BH29&gt;5000000),ROUND(BH30*37%,0),0))))</f>
        <v>0</v>
      </c>
      <c r="BI32" s="383">
        <f t="shared" si="54"/>
        <v>0</v>
      </c>
      <c r="BK32" s="387">
        <f>IF(DATA!$D$26="OLD",BM32,IF(DATA!$D$26="NEW",BN32,IF(DATA!$D$26="AUTO",MIN(BM32,BN32))))</f>
        <v>0</v>
      </c>
      <c r="BM32" s="387">
        <f t="shared" si="52"/>
        <v>0</v>
      </c>
      <c r="BN32" s="383">
        <f>IF(AND(BN29&gt;5000000,BN29&lt;=10000000),ROUND(BN30*10%,0),
IF(AND(BN29&gt;10000000,BN29&lt;=20000000),ROUND(BN30*15%,0),
IF(AND(BN29&gt;20000000),ROUND(BN30*25%,0),0)))</f>
        <v>0</v>
      </c>
      <c r="BO32" s="399" t="s">
        <v>695</v>
      </c>
      <c r="BQ32" s="870"/>
      <c r="BR32" s="870"/>
      <c r="BS32" s="920"/>
      <c r="BT32" s="920"/>
      <c r="BU32" s="921"/>
      <c r="BV32" s="920"/>
      <c r="BW32" s="870"/>
      <c r="BX32" s="922"/>
    </row>
    <row r="33" spans="1:76" ht="15.95" hidden="1" customHeight="1" x14ac:dyDescent="0.25">
      <c r="A33" s="800"/>
      <c r="B33" s="917">
        <v>44570</v>
      </c>
      <c r="C33" s="877">
        <f t="shared" si="15"/>
        <v>45830</v>
      </c>
      <c r="D33" s="882">
        <f t="shared" si="8"/>
        <v>47090</v>
      </c>
      <c r="E33" s="883">
        <v>47090</v>
      </c>
      <c r="F33" s="800"/>
      <c r="G33" s="911">
        <v>45352</v>
      </c>
      <c r="H33" s="776"/>
      <c r="I33" s="800"/>
      <c r="J33" s="886">
        <v>45139</v>
      </c>
      <c r="K33" s="877">
        <f t="shared" si="53"/>
        <v>52600</v>
      </c>
      <c r="L33" s="800"/>
      <c r="M33" s="887">
        <f>INDEX($J$3:$K$16,ROWS(J9:K$16),1)</f>
        <v>45839</v>
      </c>
      <c r="N33" s="10" t="str">
        <f t="shared" si="47"/>
        <v/>
      </c>
      <c r="O33" s="888">
        <f>INDEX($J$3:$K$16,ROWS(J9:K$16),2)</f>
        <v>55520</v>
      </c>
      <c r="P33" s="10" t="str">
        <f t="shared" si="0"/>
        <v/>
      </c>
      <c r="Q33" s="888">
        <f t="shared" si="1"/>
        <v>57100</v>
      </c>
      <c r="R33" s="888">
        <f t="shared" si="10"/>
        <v>55520</v>
      </c>
      <c r="S33" s="800"/>
      <c r="T33" s="853"/>
      <c r="U33" s="853"/>
      <c r="V33" s="853"/>
      <c r="W33" s="853"/>
      <c r="X33" s="853"/>
      <c r="Y33" s="778"/>
      <c r="Z33" s="778"/>
      <c r="AA33" s="800"/>
      <c r="AB33" s="887">
        <f>INDEX($J$3:$K$16,ROWS(X9:Y$16),1)</f>
        <v>45839</v>
      </c>
      <c r="AC33" s="906"/>
      <c r="AD33" s="906"/>
      <c r="AE33" s="906"/>
      <c r="AF33" s="800"/>
      <c r="AG33" s="906">
        <f t="shared" si="28"/>
        <v>1515</v>
      </c>
      <c r="AH33" s="906">
        <f t="shared" si="31"/>
        <v>152</v>
      </c>
      <c r="AI33" s="906">
        <f t="shared" si="29"/>
        <v>1363</v>
      </c>
      <c r="AJ33" s="800"/>
      <c r="AK33" s="776"/>
      <c r="AN33" s="800"/>
      <c r="AO33" s="83" t="str">
        <f>'ANNEXURE II'!D14</f>
        <v>Conveyance  Allowance U/s 10(14)(ii)</v>
      </c>
      <c r="AP33" s="894">
        <f>'ANNEXURE I'!I27+'ANNEXURE I'!J27+'ANNEXURE I'!N27</f>
        <v>0</v>
      </c>
      <c r="AR33" s="776"/>
      <c r="AS33" s="776"/>
      <c r="AT33" s="776"/>
      <c r="AU33" s="894">
        <f>AP33</f>
        <v>0</v>
      </c>
      <c r="AV33" s="895">
        <f>IF(KEY!$AZ$29="NEW",AU33,AU33)</f>
        <v>0</v>
      </c>
      <c r="AW33" s="800"/>
      <c r="AX33" s="776"/>
      <c r="AY33" s="376" t="str">
        <f>IF(AND(AGE&lt;=60,DATA!$D$26="OLD"),AY5,IF(AND(AGE&lt;=60,DATA!$D$26="NEW"),BE5,IF(AND(AGE&lt;=60,DATA!$D$26="AUTO"),BK5,
IF(AND(AGE&gt;60,AGE&lt;=80,DATA!$D$26="OLD"),AY14,IF(AND(AGE&gt;60,AGE&lt;=80,DATA!$D$26="NEW"),BE14,IF(AND(AGE&gt;60,AGE&lt;=80,DATA!$D$26="AUTO"),KEY!BK14,IF(AND(AGE&gt;80,DATA!$D$26="OLD"),AY23,IF(AND(AGE&gt;80,DATA!$D$26="NEW"),BE23,IF(AND(AGE&gt;80,DATA!$D$26="AUTO"),BK23,AY5)))))))))</f>
        <v>Rs. 1200001 - Rs.1600000</v>
      </c>
      <c r="AZ33" s="360">
        <f>IF(AND(AGE&lt;=60,DATA!$D$26="OLD"),AZ5,IF(AND(AGE&lt;=60,DATA!$D$26="NEW"),BF5,IF(AND(AGE&lt;=60,DATA!$D$26="AUTO"),BL5,
IF(AND(AGE&gt;60,AGE&lt;=80,DATA!$D$26="OLD"),AZ14,IF(AND(AGE&gt;60,AGE&lt;=80,DATA!$D$26="NEW"),BF14,IF(AND(AGE&gt;60,AGE&lt;=80,DATA!$D$26="AUTO"),BL14,
IF(AND(AGE&gt;80,DATA!$D$26="OLD"),AZ23,IF(AND(AGE&gt;80,DATA!$D$26="NEW"),BF23,IF(AND(AGE&gt;80,DATA!$D$26="AUTO"),BL23,AZ5)))))))))</f>
        <v>0.15</v>
      </c>
      <c r="BA33" s="359">
        <f>IF(AND(AGE&lt;=60,DATA!$D$26="OLD"),BA5,IF(AND(AGE&lt;=60,DATA!$D$26="NEW"),BG5,IF(AND(AGE&lt;=60,DATA!$D$26="AUTO"),BM5,
IF(AND(AGE&gt;60,AGE&lt;=80,DATA!$D$26="OLD"),BA14,IF(AND(AGE&gt;60,AGE&lt;=80,DATA!$D$26="NEW"),BG14,IF(AND(AGE&gt;60,AGE&lt;=80,DATA!$D$26="AUTO"),BM14,
IF(AND(AGE&gt;80,DATA!$D$26="OLD"),BA23,IF(AND(AGE&gt;80,DATA!$D$26="NEW"),BG23,IF(AND(AGE&gt;80,DATA!$D$26="AUTO"),BM23,BA5)))))))))</f>
        <v>0</v>
      </c>
      <c r="BB33" s="359">
        <f>IF(AND(AGE&lt;=60,DATA!$D$26="OLD"),BB5,IF(AND(AGE&lt;=60,DATA!$D$26="NEW"),BH5,IF(AND(AGE&lt;=60,DATA!$D$26="AUTO"),BH5,
IF(AND(AGE&gt;60,AGE&lt;=80,DATA!$D$26="OLD"),BB14,IF(AND(AGE&gt;60,AGE&lt;=80,DATA!$D$26="NEW"),BH14,IF(AND(AGE&gt;60,AGE&lt;=80,DATA!$D$26="AUTO"),KEY!BN14,IF(AND(AGE&gt;80,DATA!$D$26="OLD"),BB23,IF(AND(AGE&gt;80,DATA!$D$26="NEW"),BH23,IF(AND(AGE&gt;80,DATA!$D$26="AUTO"),BN23,BB5)))))))))</f>
        <v>0</v>
      </c>
      <c r="BC33" s="361">
        <f>IF(AND(AGE&lt;=60,DATA!$D$26="OLD"),BC5,IF(AND(AGE&lt;=60,DATA!$D$26="NEW"),BI5,IF(AND(AGE&lt;=60,DATA!$D$26="AUTO"),BO5,
   IF(AND(AGE&gt;60,AGE&lt;=80,DATA!$D$26="OLD"),BC14,IF(AND(AGE&gt;60,AGE&lt;=80,DATA!$D$26="NEW"),BI14,
   IF(AND(AGE&gt;60,AGE&lt;=80,DATA!$D$26="AUTO"),BO14,
   IF(AND(AGE&gt;80,DATA!$D$26="OLD"),BC23,IF(AND(AGE&gt;80,DATA!$D$26="NEW"),BI23,IF(AND(AGE&gt;80,DATA!$D$26="AUTO"),BO23,BC5)))))))))</f>
        <v>0</v>
      </c>
      <c r="BE33" s="380" t="s">
        <v>696</v>
      </c>
      <c r="BG33" s="383">
        <f>BC6</f>
        <v>0</v>
      </c>
      <c r="BH33" s="383">
        <f>BC15</f>
        <v>0</v>
      </c>
      <c r="BI33" s="383">
        <f>BC24</f>
        <v>0</v>
      </c>
      <c r="BK33" s="387">
        <f>IF(DATA!$D$26="OLD",BM33,IF(DATA!$D$26="NEW",BN33,IF(DATA!$D$26="AUTO",MIN(BM33,BN33))))</f>
        <v>0</v>
      </c>
      <c r="BM33" s="387">
        <f t="shared" si="52"/>
        <v>0</v>
      </c>
      <c r="BN33" s="383">
        <f>BI5</f>
        <v>0</v>
      </c>
      <c r="BO33" s="400" t="str">
        <f>AZ29</f>
        <v>NEW</v>
      </c>
      <c r="BQ33" s="870"/>
      <c r="BR33" s="870"/>
      <c r="BS33" s="870"/>
      <c r="BT33" s="920"/>
      <c r="BU33" s="921"/>
      <c r="BV33" s="920"/>
      <c r="BW33" s="870"/>
      <c r="BX33" s="922"/>
    </row>
    <row r="34" spans="1:76" ht="15.95" hidden="1" customHeight="1" x14ac:dyDescent="0.25">
      <c r="A34" s="800"/>
      <c r="B34" s="917">
        <v>45830</v>
      </c>
      <c r="C34" s="877">
        <f t="shared" si="15"/>
        <v>47090</v>
      </c>
      <c r="D34" s="882">
        <f t="shared" si="8"/>
        <v>48440</v>
      </c>
      <c r="E34" s="883">
        <v>48440</v>
      </c>
      <c r="F34" s="800"/>
      <c r="G34" s="911">
        <v>45383</v>
      </c>
      <c r="H34" s="776"/>
      <c r="I34" s="800"/>
      <c r="J34" s="886">
        <v>45108</v>
      </c>
      <c r="K34" s="877">
        <f t="shared" si="53"/>
        <v>52600</v>
      </c>
      <c r="L34" s="800"/>
      <c r="M34" s="887">
        <f>INDEX($J$3:$K$16,ROWS(J10:K$16),1)</f>
        <v>45870</v>
      </c>
      <c r="N34" s="10" t="str">
        <f t="shared" si="47"/>
        <v/>
      </c>
      <c r="O34" s="888">
        <f>INDEX($J$3:$K$16,ROWS(J10:K$16),2)</f>
        <v>55520</v>
      </c>
      <c r="P34" s="10" t="str">
        <f t="shared" si="0"/>
        <v/>
      </c>
      <c r="Q34" s="888">
        <f t="shared" si="1"/>
        <v>57100</v>
      </c>
      <c r="R34" s="888">
        <f t="shared" si="10"/>
        <v>55520</v>
      </c>
      <c r="S34" s="800"/>
      <c r="T34" s="853"/>
      <c r="U34" s="853"/>
      <c r="V34" s="853"/>
      <c r="W34" s="853"/>
      <c r="X34" s="853"/>
      <c r="Y34" s="778"/>
      <c r="Z34" s="778"/>
      <c r="AA34" s="800"/>
      <c r="AB34" s="887">
        <f>INDEX($J$3:$K$16,ROWS(X10:Y$16),1)</f>
        <v>45870</v>
      </c>
      <c r="AC34" s="906"/>
      <c r="AD34" s="906"/>
      <c r="AE34" s="906"/>
      <c r="AF34" s="800"/>
      <c r="AG34" s="906">
        <f t="shared" si="28"/>
        <v>1515</v>
      </c>
      <c r="AH34" s="906">
        <f t="shared" si="31"/>
        <v>152</v>
      </c>
      <c r="AI34" s="906">
        <f t="shared" si="29"/>
        <v>1363</v>
      </c>
      <c r="AJ34" s="800"/>
      <c r="AK34" s="776"/>
      <c r="AN34" s="800"/>
      <c r="AO34" s="83" t="str">
        <f>'ANNEXURE II'!D15 &amp; " For Old Regime"</f>
        <v>Standard Deduction U/s 16(ia) For Old Regime</v>
      </c>
      <c r="AP34" s="894">
        <f>MAX(0,MIN(50000,KEY!BS4))</f>
        <v>50000</v>
      </c>
      <c r="AR34" s="776"/>
      <c r="AS34" s="776"/>
      <c r="AT34" s="776"/>
      <c r="AU34" s="894">
        <f>AP34</f>
        <v>50000</v>
      </c>
      <c r="AV34" s="895">
        <v>50000</v>
      </c>
      <c r="AW34" s="800"/>
      <c r="AX34" s="776"/>
      <c r="AY34" s="376" t="str">
        <f>IF(AND(AGE&lt;=60,DATA!$D$26="OLD"),AY6,IF(AND(AGE&lt;=60,DATA!$D$26="NEW"),BE6,IF(AND(AGE&lt;=60,DATA!$D$26="AUTO"),BK6,
IF(AND(AGE&gt;60,AGE&lt;=80,DATA!$D$26="OLD"),AY15,IF(AND(AGE&gt;60,AGE&lt;=80,DATA!$D$26="NEW"),BE15,IF(AND(AGE&gt;60,AGE&lt;=80,DATA!$D$26="AUTO"),KEY!BK15,IF(AND(AGE&gt;80,DATA!$D$26="OLD"),AY24,IF(AND(AGE&gt;80,DATA!$D$26="NEW"),BE24,IF(AND(AGE&gt;80,DATA!$D$26="AUTO"),BK24,AY6)))))))))</f>
        <v>Rs.1600001 - Rs.2000000</v>
      </c>
      <c r="AZ34" s="360">
        <f>IF(AND(AGE&lt;=60,DATA!$D$26="OLD"),AZ6,IF(AND(AGE&lt;=60,DATA!$D$26="NEW"),BF6,IF(AND(AGE&lt;=60,DATA!$D$26="AUTO"),BL6,
IF(AND(AGE&gt;60,AGE&lt;=80,DATA!$D$26="OLD"),AZ15,IF(AND(AGE&gt;60,AGE&lt;=80,DATA!$D$26="NEW"),BF15,IF(AND(AGE&gt;60,AGE&lt;=80,DATA!$D$26="AUTO"),BL15,
IF(AND(AGE&gt;80,DATA!$D$26="OLD"),AZ24,IF(AND(AGE&gt;80,DATA!$D$26="NEW"),BF24,IF(AND(AGE&gt;80,DATA!$D$26="AUTO"),BL24,AZ6)))))))))</f>
        <v>0.2</v>
      </c>
      <c r="BA34" s="359">
        <f>IF(AND(AGE&lt;=60,DATA!$D$26="OLD"),BA6,IF(AND(AGE&lt;=60,DATA!$D$26="NEW"),BG6,IF(AND(AGE&lt;=60,DATA!$D$26="AUTO"),BM6,
IF(AND(AGE&gt;60,AGE&lt;=80,DATA!$D$26="OLD"),BA15,IF(AND(AGE&gt;60,AGE&lt;=80,DATA!$D$26="NEW"),BG15,IF(AND(AGE&gt;60,AGE&lt;=80,DATA!$D$26="AUTO"),BM15,
IF(AND(AGE&gt;80,DATA!$D$26="OLD"),BA24,IF(AND(AGE&gt;80,DATA!$D$26="NEW"),BG24,IF(AND(AGE&gt;80,DATA!$D$26="AUTO"),BM24,BA6)))))))))</f>
        <v>0</v>
      </c>
      <c r="BB34" s="359">
        <f>IF(AND(AGE&lt;=60,DATA!$D$26="OLD"),BB6,IF(AND(AGE&lt;=60,DATA!$D$26="NEW"),BH6,IF(AND(AGE&lt;=60,DATA!$D$26="AUTO"),BH6,
IF(AND(AGE&gt;60,AGE&lt;=80,DATA!$D$26="OLD"),BB15,IF(AND(AGE&gt;60,AGE&lt;=80,DATA!$D$26="NEW"),BH15,IF(AND(AGE&gt;60,AGE&lt;=80,DATA!$D$26="AUTO"),KEY!BN15,IF(AND(AGE&gt;80,DATA!$D$26="OLD"),BB24,IF(AND(AGE&gt;80,DATA!$D$26="NEW"),BH24,IF(AND(AGE&gt;80,DATA!$D$26="AUTO"),BN24,BB6)))))))))</f>
        <v>0</v>
      </c>
      <c r="BC34" s="361">
        <f>IF(AND(AGE&lt;=60,DATA!$D$26="OLD"),BC6,IF(AND(AGE&lt;=60,DATA!$D$26="NEW"),BI6,IF(AND(AGE&lt;=60,DATA!$D$26="AUTO"),BO6,
   IF(AND(AGE&gt;60,AGE&lt;=80,DATA!$D$26="OLD"),BC15,IF(AND(AGE&gt;60,AGE&lt;=80,DATA!$D$26="NEW"),BI15,
   IF(AND(AGE&gt;60,AGE&lt;=80,DATA!$D$26="AUTO"),BO15,
   IF(AND(AGE&gt;80,DATA!$D$26="OLD"),BC24,IF(AND(AGE&gt;80,DATA!$D$26="NEW"),BI24,IF(AND(AGE&gt;80,DATA!$D$26="AUTO"),BO24,BC6)))))))))</f>
        <v>0</v>
      </c>
      <c r="BE34" s="380" t="s">
        <v>697</v>
      </c>
      <c r="BG34" s="383">
        <f>MAX(0,BG32-BG33)</f>
        <v>0</v>
      </c>
      <c r="BH34" s="383">
        <f t="shared" ref="BH34" si="55">MAX(0,BH32-BH33)</f>
        <v>0</v>
      </c>
      <c r="BI34" s="383">
        <f t="shared" ref="BI34" si="56">MAX(0,BI32-BI33)</f>
        <v>0</v>
      </c>
      <c r="BK34" s="387">
        <f>IF(DATA!$D$26="OLD",BM34,IF(DATA!$D$26="NEW",BN34,IF(DATA!$D$26="AUTO",MIN(BM34,BN34))))</f>
        <v>0</v>
      </c>
      <c r="BM34" s="387">
        <f t="shared" si="52"/>
        <v>0</v>
      </c>
      <c r="BN34" s="383">
        <f>MAX(0,BN32-BN33)</f>
        <v>0</v>
      </c>
      <c r="BO34" s="390"/>
      <c r="BQ34" s="870"/>
      <c r="BR34" s="870"/>
      <c r="BS34" s="870"/>
      <c r="BT34" s="920"/>
      <c r="BU34" s="921"/>
      <c r="BV34" s="920"/>
      <c r="BW34" s="870"/>
      <c r="BX34" s="922"/>
    </row>
    <row r="35" spans="1:76" ht="15.95" hidden="1" customHeight="1" x14ac:dyDescent="0.25">
      <c r="A35" s="800"/>
      <c r="B35" s="917">
        <v>47090</v>
      </c>
      <c r="C35" s="877">
        <f t="shared" si="15"/>
        <v>48440</v>
      </c>
      <c r="D35" s="882">
        <f t="shared" si="8"/>
        <v>49790</v>
      </c>
      <c r="E35" s="883">
        <v>49790</v>
      </c>
      <c r="F35" s="800"/>
      <c r="G35" s="911">
        <v>45413</v>
      </c>
      <c r="H35" s="776"/>
      <c r="I35" s="800"/>
      <c r="J35" s="886">
        <v>45078</v>
      </c>
      <c r="K35" s="877">
        <f t="shared" si="53"/>
        <v>52600</v>
      </c>
      <c r="L35" s="800"/>
      <c r="M35" s="887">
        <f>INDEX($J$3:$K$16,ROWS(J11:K$16),1)</f>
        <v>45901</v>
      </c>
      <c r="N35" s="10" t="str">
        <f t="shared" si="47"/>
        <v/>
      </c>
      <c r="O35" s="888">
        <f>INDEX($J$3:$K$16,ROWS(J11:K$16),2)</f>
        <v>55520</v>
      </c>
      <c r="P35" s="10" t="str">
        <f t="shared" si="0"/>
        <v/>
      </c>
      <c r="Q35" s="888">
        <f t="shared" si="1"/>
        <v>57100</v>
      </c>
      <c r="R35" s="888">
        <f t="shared" si="10"/>
        <v>55520</v>
      </c>
      <c r="S35" s="800"/>
      <c r="T35" s="853"/>
      <c r="U35" s="853"/>
      <c r="V35" s="853"/>
      <c r="W35" s="853"/>
      <c r="X35" s="853"/>
      <c r="Y35" s="778"/>
      <c r="Z35" s="778"/>
      <c r="AA35" s="800"/>
      <c r="AB35" s="887">
        <f>INDEX($J$3:$K$16,ROWS(X11:Y$16),1)</f>
        <v>45901</v>
      </c>
      <c r="AC35" s="906"/>
      <c r="AD35" s="906"/>
      <c r="AE35" s="906"/>
      <c r="AF35" s="800"/>
      <c r="AG35" s="906">
        <f t="shared" si="28"/>
        <v>1515</v>
      </c>
      <c r="AH35" s="906">
        <f t="shared" si="31"/>
        <v>152</v>
      </c>
      <c r="AI35" s="906">
        <f t="shared" si="29"/>
        <v>1363</v>
      </c>
      <c r="AJ35" s="800"/>
      <c r="AK35" s="776"/>
      <c r="AN35" s="800"/>
      <c r="AO35" s="409" t="str">
        <f>'ANNEXURE II'!D15 &amp; " For New Regime"</f>
        <v>Standard Deduction U/s 16(ia) For New Regime</v>
      </c>
      <c r="AP35" s="923">
        <v>75000</v>
      </c>
      <c r="AR35" s="776"/>
      <c r="AS35" s="776"/>
      <c r="AT35" s="776"/>
      <c r="AU35" s="894">
        <v>0</v>
      </c>
      <c r="AV35" s="895">
        <v>75000</v>
      </c>
      <c r="AW35" s="800"/>
      <c r="AX35" s="776"/>
      <c r="AY35" s="376" t="str">
        <f>IF(AND(AGE&lt;=60,DATA!$D$26="OLD"),AY7,IF(AND(AGE&lt;=60,DATA!$D$26="NEW"),BE7,IF(AND(AGE&lt;=60,DATA!$D$26="AUTO"),BK7,
IF(AND(AGE&gt;60,AGE&lt;=80,DATA!$D$26="OLD"),AY16,IF(AND(AGE&gt;60,AGE&lt;=80,DATA!$D$26="NEW"),BE16,IF(AND(AGE&gt;60,AGE&lt;=80,DATA!$D$26="AUTO"),KEY!BK16,IF(AND(AGE&gt;80,DATA!$D$26="OLD"),AY25,IF(AND(AGE&gt;80,DATA!$D$26="NEW"),BE25,IF(AND(AGE&gt;80,DATA!$D$26="AUTO"),BK25,AY7)))))))))</f>
        <v>Rs.2000001 - Rs.2400000</v>
      </c>
      <c r="AZ35" s="360">
        <f>IF(AND(AGE&lt;=60,DATA!$D$26="OLD"),AZ7,IF(AND(AGE&lt;=60,DATA!$D$26="NEW"),BF7,IF(AND(AGE&lt;=60,DATA!$D$26="AUTO"),BL7,
IF(AND(AGE&gt;60,AGE&lt;=80,DATA!$D$26="OLD"),AZ16,IF(AND(AGE&gt;60,AGE&lt;=80,DATA!$D$26="NEW"),BF16,IF(AND(AGE&gt;60,AGE&lt;=80,DATA!$D$26="AUTO"),BL16,
IF(AND(AGE&gt;80,DATA!$D$26="OLD"),AZ25,IF(AND(AGE&gt;80,DATA!$D$26="NEW"),BF25,IF(AND(AGE&gt;80,DATA!$D$26="AUTO"),BL25,AZ7)))))))))</f>
        <v>0.25</v>
      </c>
      <c r="BA35" s="359">
        <f>IF(AND(AGE&lt;=60,DATA!$D$26="OLD"),BA7,IF(AND(AGE&lt;=60,DATA!$D$26="NEW"),BG7,IF(AND(AGE&lt;=60,DATA!$D$26="AUTO"),BM7,
IF(AND(AGE&gt;60,AGE&lt;=80,DATA!$D$26="OLD"),BA16,IF(AND(AGE&gt;60,AGE&lt;=80,DATA!$D$26="NEW"),BG16,IF(AND(AGE&gt;60,AGE&lt;=80,DATA!$D$26="AUTO"),BM16,
IF(AND(AGE&gt;80,DATA!$D$26="OLD"),BA25,IF(AND(AGE&gt;80,DATA!$D$26="NEW"),BG25,IF(AND(AGE&gt;80,DATA!$D$26="AUTO"),BM25,BA7)))))))))</f>
        <v>0</v>
      </c>
      <c r="BB35" s="359">
        <f>IF(AND(AGE&lt;=60,DATA!$D$26="OLD"),BB7,IF(AND(AGE&lt;=60,DATA!$D$26="NEW"),BH7,IF(AND(AGE&lt;=60,DATA!$D$26="AUTO"),BH7,
IF(AND(AGE&gt;60,AGE&lt;=80,DATA!$D$26="OLD"),BB16,IF(AND(AGE&gt;60,AGE&lt;=80,DATA!$D$26="NEW"),BH16,IF(AND(AGE&gt;60,AGE&lt;=80,DATA!$D$26="AUTO"),KEY!BN16,IF(AND(AGE&gt;80,DATA!$D$26="OLD"),BB25,IF(AND(AGE&gt;80,DATA!$D$26="NEW"),BH25,IF(AND(AGE&gt;80,DATA!$D$26="AUTO"),BN25,BB7)))))))))</f>
        <v>0</v>
      </c>
      <c r="BC35" s="361">
        <f>IF(AND(AGE&lt;=60,DATA!$D$26="OLD"),BC7,IF(AND(AGE&lt;=60,DATA!$D$26="NEW"),BI7,IF(AND(AGE&lt;=60,DATA!$D$26="AUTO"),BO7,
   IF(AND(AGE&gt;60,AGE&lt;=80,DATA!$D$26="OLD"),BC16,IF(AND(AGE&gt;60,AGE&lt;=80,DATA!$D$26="NEW"),BI16,
   IF(AND(AGE&gt;60,AGE&lt;=80,DATA!$D$26="AUTO"),BO16,
   IF(AND(AGE&gt;80,DATA!$D$26="OLD"),BC25,IF(AND(AGE&gt;80,DATA!$D$26="NEW"),BI25,IF(AND(AGE&gt;80,DATA!$D$26="AUTO"),BO25,BC7)))))))))</f>
        <v>0</v>
      </c>
      <c r="BE35" s="380" t="s">
        <v>482</v>
      </c>
      <c r="BG35" s="384">
        <f t="shared" ref="BG35:BI35" si="57">MAX(0,ROUND((BG30+BG32-BG33-BG31)*4%,0))</f>
        <v>2843</v>
      </c>
      <c r="BH35" s="384">
        <f t="shared" si="57"/>
        <v>2743</v>
      </c>
      <c r="BI35" s="384">
        <f t="shared" si="57"/>
        <v>2343</v>
      </c>
      <c r="BK35" s="387">
        <f>IF(DATA!$D$26="OLD",BM35,IF(DATA!$D$26="NEW",BN35,IF(DATA!$D$26="AUTO",MIN(BM35,BN35))))</f>
        <v>0</v>
      </c>
      <c r="BM35" s="387">
        <f t="shared" si="52"/>
        <v>2843</v>
      </c>
      <c r="BN35" s="384">
        <f>MAX(0,ROUND((BN30+BN32-BN33-BN31)*4%,0))</f>
        <v>0</v>
      </c>
      <c r="BO35" s="388" t="s">
        <v>698</v>
      </c>
      <c r="BQ35" s="870"/>
      <c r="BR35" s="870"/>
      <c r="BS35" s="870"/>
      <c r="BT35" s="920"/>
      <c r="BU35" s="921"/>
      <c r="BV35" s="920"/>
      <c r="BW35" s="870"/>
      <c r="BX35" s="922"/>
    </row>
    <row r="36" spans="1:76" ht="15.95" hidden="1" customHeight="1" x14ac:dyDescent="0.25">
      <c r="A36" s="800"/>
      <c r="B36" s="917">
        <v>48440</v>
      </c>
      <c r="C36" s="877">
        <f t="shared" si="15"/>
        <v>49790</v>
      </c>
      <c r="D36" s="882">
        <f t="shared" si="8"/>
        <v>51140</v>
      </c>
      <c r="E36" s="883">
        <v>51140</v>
      </c>
      <c r="F36" s="800"/>
      <c r="G36" s="911">
        <v>45444</v>
      </c>
      <c r="H36" s="776"/>
      <c r="I36" s="800"/>
      <c r="J36" s="886">
        <v>45047</v>
      </c>
      <c r="K36" s="877">
        <f t="shared" si="53"/>
        <v>52600</v>
      </c>
      <c r="L36" s="800"/>
      <c r="M36" s="887">
        <f>INDEX($J$3:$K$16,ROWS(J12:K$16),1)</f>
        <v>45931</v>
      </c>
      <c r="N36" s="10" t="str">
        <f t="shared" si="47"/>
        <v/>
      </c>
      <c r="O36" s="888">
        <f>INDEX($J$3:$K$16,ROWS(J12:K$16),2)</f>
        <v>55520</v>
      </c>
      <c r="P36" s="10" t="str">
        <f t="shared" si="0"/>
        <v/>
      </c>
      <c r="Q36" s="888">
        <f t="shared" si="1"/>
        <v>57100</v>
      </c>
      <c r="R36" s="888">
        <f t="shared" si="10"/>
        <v>55520</v>
      </c>
      <c r="S36" s="800"/>
      <c r="T36" s="853"/>
      <c r="U36" s="853"/>
      <c r="V36" s="853"/>
      <c r="W36" s="853"/>
      <c r="X36" s="853"/>
      <c r="Y36" s="778"/>
      <c r="Z36" s="778"/>
      <c r="AA36" s="800"/>
      <c r="AB36" s="887">
        <f>INDEX($J$3:$K$16,ROWS(X12:Y$16),1)</f>
        <v>45931</v>
      </c>
      <c r="AC36" s="906"/>
      <c r="AD36" s="906"/>
      <c r="AE36" s="906"/>
      <c r="AF36" s="800"/>
      <c r="AG36" s="906">
        <f t="shared" si="28"/>
        <v>1515</v>
      </c>
      <c r="AH36" s="906">
        <f t="shared" si="31"/>
        <v>152</v>
      </c>
      <c r="AI36" s="906">
        <f t="shared" si="29"/>
        <v>1363</v>
      </c>
      <c r="AJ36" s="800"/>
      <c r="AK36" s="776"/>
      <c r="AN36" s="800"/>
      <c r="AO36" s="83" t="str">
        <f>'ANNEXURE II'!D16</f>
        <v>Profession Tax          U/s 16 (iii)</v>
      </c>
      <c r="AP36" s="894">
        <f>'ANNEXURE I'!T27</f>
        <v>2400</v>
      </c>
      <c r="AR36" s="776"/>
      <c r="AS36" s="776"/>
      <c r="AT36" s="776"/>
      <c r="AU36" s="924">
        <f>AP36</f>
        <v>2400</v>
      </c>
      <c r="AV36" s="895">
        <f>IF(KEY!$AZ$29="NEW",0,AU36)</f>
        <v>0</v>
      </c>
      <c r="AW36" s="800"/>
      <c r="AX36" s="776"/>
      <c r="AY36" s="376" t="str">
        <f>IF(AND(AGE&lt;=60,DATA!$D$26="OLD"),AY8,IF(AND(AGE&lt;=60,DATA!$D$26="NEW"),BE8,IF(AND(AGE&lt;=60,DATA!$D$26="AUTO"),BK8,
IF(AND(AGE&gt;60,AGE&lt;=80,DATA!$D$26="OLD"),AY17,IF(AND(AGE&gt;60,AGE&lt;=80,DATA!$D$26="NEW"),BE17,IF(AND(AGE&gt;60,AGE&lt;=80,DATA!$D$26="AUTO"),KEY!BK17,IF(AND(AGE&gt;80,DATA!$D$26="OLD"),AY26,IF(AND(AGE&gt;80,DATA!$D$26="NEW"),BE26,IF(AND(AGE&gt;80,DATA!$D$26="AUTO"),BK26,AY8)))))))))</f>
        <v>Rs.2400000 &amp;    ABOVE</v>
      </c>
      <c r="AZ36" s="360">
        <f>IF(AND(AGE&lt;=60,DATA!$D$26="OLD"),AZ8,IF(AND(AGE&lt;=60,DATA!$D$26="NEW"),BF8,IF(AND(AGE&lt;=60,DATA!$D$26="AUTO"),BL8,
IF(AND(AGE&gt;60,AGE&lt;=80,DATA!$D$26="OLD"),AZ17,IF(AND(AGE&gt;60,AGE&lt;=80,DATA!$D$26="NEW"),BF17,IF(AND(AGE&gt;60,AGE&lt;=80,DATA!$D$26="AUTO"),BL17,
IF(AND(AGE&gt;80,DATA!$D$26="OLD"),AZ26,IF(AND(AGE&gt;80,DATA!$D$26="NEW"),BF26,IF(AND(AGE&gt;80,DATA!$D$26="AUTO"),BL26,AZ8)))))))))</f>
        <v>0.3</v>
      </c>
      <c r="BA36" s="359">
        <f>IF(AND(AGE&lt;=60,DATA!$D$26="OLD"),BA8,IF(AND(AGE&lt;=60,DATA!$D$26="NEW"),BG8,IF(AND(AGE&lt;=60,DATA!$D$26="AUTO"),BM8,
IF(AND(AGE&gt;60,AGE&lt;=80,DATA!$D$26="OLD"),BA17,IF(AND(AGE&gt;60,AGE&lt;=80,DATA!$D$26="NEW"),BG17,IF(AND(AGE&gt;60,AGE&lt;=80,DATA!$D$26="AUTO"),BM17,
IF(AND(AGE&gt;80,DATA!$D$26="OLD"),BA26,IF(AND(AGE&gt;80,DATA!$D$26="NEW"),BG26,IF(AND(AGE&gt;80,DATA!$D$26="AUTO"),BM26,BA8)))))))))</f>
        <v>0</v>
      </c>
      <c r="BB36" s="359">
        <f>IF(AND(AGE&lt;=60,DATA!$D$26="OLD"),BB8,IF(AND(AGE&lt;=60,DATA!$D$26="NEW"),BH8,IF(AND(AGE&lt;=60,DATA!$D$26="AUTO"),BH8,
IF(AND(AGE&gt;60,AGE&lt;=80,DATA!$D$26="OLD"),BB17,IF(AND(AGE&gt;60,AGE&lt;=80,DATA!$D$26="NEW"),BH17,IF(AND(AGE&gt;60,AGE&lt;=80,DATA!$D$26="AUTO"),KEY!BN17,IF(AND(AGE&gt;80,DATA!$D$26="OLD"),BB26,IF(AND(AGE&gt;80,DATA!$D$26="NEW"),BH26,IF(AND(AGE&gt;80,DATA!$D$26="AUTO"),BN26,BB8)))))))))</f>
        <v>0</v>
      </c>
      <c r="BC36" s="363"/>
      <c r="BE36" s="381" t="s">
        <v>369</v>
      </c>
      <c r="BG36" s="385">
        <f>BG30-BG31+BG34+BG35</f>
        <v>73911</v>
      </c>
      <c r="BH36" s="385">
        <f t="shared" ref="BH36:BI36" si="58">BH30-BH31+BH34+BH35</f>
        <v>71311</v>
      </c>
      <c r="BI36" s="385">
        <f t="shared" si="58"/>
        <v>60911</v>
      </c>
      <c r="BK36" s="385">
        <f>IF(DATA!$D$26="OLD",BM36,IF(DATA!$D$26="NEW",BN36,IF(DATA!$D$26="AUTO",MIN(BM36,BN36))))</f>
        <v>0</v>
      </c>
      <c r="BM36" s="385">
        <f>IF(AGE&lt;=60,BG36,IF(AND(AGE&gt;60,AGE&lt;=80),BH36,IF(AGE&gt;80,BI36,BG36)))</f>
        <v>73911</v>
      </c>
      <c r="BN36" s="385">
        <f>BN30-BN31+BN34+BN35</f>
        <v>0</v>
      </c>
      <c r="BO36" s="733">
        <f>BK36</f>
        <v>0</v>
      </c>
      <c r="BQ36" s="870"/>
      <c r="BR36" s="925"/>
      <c r="BS36" s="920"/>
      <c r="BT36" s="920"/>
      <c r="BU36" s="921"/>
      <c r="BV36" s="920"/>
      <c r="BW36" s="870"/>
      <c r="BX36" s="922"/>
    </row>
    <row r="37" spans="1:76" ht="15.95" hidden="1" customHeight="1" x14ac:dyDescent="0.25">
      <c r="A37" s="800"/>
      <c r="B37" s="917">
        <v>49790</v>
      </c>
      <c r="C37" s="877">
        <f t="shared" si="15"/>
        <v>51140</v>
      </c>
      <c r="D37" s="882">
        <f t="shared" si="8"/>
        <v>52600</v>
      </c>
      <c r="E37" s="883">
        <v>52600</v>
      </c>
      <c r="F37" s="800"/>
      <c r="G37" s="911">
        <v>45474</v>
      </c>
      <c r="H37" s="776"/>
      <c r="I37" s="800"/>
      <c r="J37" s="886">
        <v>45017</v>
      </c>
      <c r="K37" s="877">
        <f t="shared" si="53"/>
        <v>52600</v>
      </c>
      <c r="L37" s="800"/>
      <c r="M37" s="887">
        <f>INDEX($J$3:$K$16,ROWS(J13:K$16),1)</f>
        <v>45962</v>
      </c>
      <c r="N37" s="10" t="str">
        <f t="shared" si="47"/>
        <v>INC 3</v>
      </c>
      <c r="O37" s="888">
        <f>INDEX($J$3:$K$16,ROWS(J13:K$16),2)</f>
        <v>57100</v>
      </c>
      <c r="P37" s="10" t="str">
        <f t="shared" si="0"/>
        <v/>
      </c>
      <c r="Q37" s="888">
        <f t="shared" si="1"/>
        <v>58680</v>
      </c>
      <c r="R37" s="888">
        <f t="shared" si="10"/>
        <v>57100</v>
      </c>
      <c r="S37" s="800"/>
      <c r="T37" s="853"/>
      <c r="U37" s="853"/>
      <c r="V37" s="853"/>
      <c r="W37" s="853"/>
      <c r="X37" s="853"/>
      <c r="Y37" s="778"/>
      <c r="Z37" s="778"/>
      <c r="AA37" s="800"/>
      <c r="AB37" s="887">
        <f>INDEX($J$3:$K$16,ROWS(X13:Y$16),1)</f>
        <v>45962</v>
      </c>
      <c r="AC37" s="906"/>
      <c r="AD37" s="906"/>
      <c r="AE37" s="906"/>
      <c r="AF37" s="800"/>
      <c r="AG37" s="906">
        <f t="shared" si="28"/>
        <v>1559</v>
      </c>
      <c r="AH37" s="906">
        <f t="shared" si="31"/>
        <v>156</v>
      </c>
      <c r="AI37" s="906">
        <f t="shared" ref="AI37:AI39" si="59">AG37-AH37</f>
        <v>1403</v>
      </c>
      <c r="AJ37" s="800"/>
      <c r="AK37" s="776"/>
      <c r="AN37" s="800"/>
      <c r="AO37" s="776"/>
      <c r="AP37" s="776"/>
      <c r="AR37" s="926" t="s">
        <v>699</v>
      </c>
      <c r="AS37" s="927"/>
      <c r="AT37" s="927"/>
      <c r="AU37" s="93">
        <f>SUM(AU18)+SUM(AU21:AU30)+SUM(AU32:AU36)</f>
        <v>185566</v>
      </c>
      <c r="AV37" s="96"/>
      <c r="AW37" s="800"/>
      <c r="AX37" s="776"/>
      <c r="BA37" s="366">
        <f>SUM(BA30:BA36)</f>
        <v>903410</v>
      </c>
      <c r="BB37" s="366">
        <f>SUM(BB30:BB36)</f>
        <v>30341</v>
      </c>
      <c r="BL37" s="725" t="s">
        <v>543</v>
      </c>
      <c r="BM37" s="727">
        <f>'10E DATA'!N14</f>
        <v>0</v>
      </c>
      <c r="BN37" s="727">
        <f>'10E DATA'!N14</f>
        <v>0</v>
      </c>
      <c r="BO37" s="728">
        <f>'10E DATA'!N14</f>
        <v>0</v>
      </c>
      <c r="BQ37" s="870"/>
      <c r="BR37" s="925"/>
      <c r="BS37" s="920"/>
      <c r="BT37" s="920"/>
      <c r="BU37" s="921"/>
      <c r="BV37" s="920"/>
      <c r="BW37" s="870"/>
      <c r="BX37" s="922"/>
    </row>
    <row r="38" spans="1:76" ht="15.95" hidden="1" customHeight="1" x14ac:dyDescent="0.25">
      <c r="A38" s="800"/>
      <c r="B38" s="917">
        <v>51140</v>
      </c>
      <c r="C38" s="877">
        <f t="shared" si="15"/>
        <v>52600</v>
      </c>
      <c r="D38" s="882">
        <f t="shared" si="8"/>
        <v>54060</v>
      </c>
      <c r="E38" s="883">
        <v>54060</v>
      </c>
      <c r="F38" s="800"/>
      <c r="G38" s="911">
        <v>45505</v>
      </c>
      <c r="H38" s="776"/>
      <c r="I38" s="800"/>
      <c r="J38" s="886">
        <v>44986</v>
      </c>
      <c r="K38" s="877">
        <f t="shared" si="53"/>
        <v>52600</v>
      </c>
      <c r="L38" s="800"/>
      <c r="M38" s="887">
        <f>INDEX($J$3:$K$16,ROWS(J14:K$16),1)</f>
        <v>45992</v>
      </c>
      <c r="N38" s="10" t="str">
        <f t="shared" si="47"/>
        <v/>
      </c>
      <c r="O38" s="888">
        <f>INDEX($J$3:$K$16,ROWS(J14:K$16),2)</f>
        <v>57100</v>
      </c>
      <c r="P38" s="10" t="str">
        <f t="shared" si="0"/>
        <v/>
      </c>
      <c r="Q38" s="888">
        <f t="shared" si="1"/>
        <v>58680</v>
      </c>
      <c r="R38" s="888">
        <f t="shared" si="10"/>
        <v>57100</v>
      </c>
      <c r="S38" s="800"/>
      <c r="T38" s="853"/>
      <c r="U38" s="853"/>
      <c r="V38" s="853"/>
      <c r="W38" s="853"/>
      <c r="X38" s="853"/>
      <c r="Y38" s="778"/>
      <c r="Z38" s="778"/>
      <c r="AA38" s="800"/>
      <c r="AB38" s="887">
        <f>INDEX($J$3:$K$16,ROWS(X14:Y$16),1)</f>
        <v>45992</v>
      </c>
      <c r="AC38" s="906"/>
      <c r="AD38" s="906"/>
      <c r="AE38" s="906"/>
      <c r="AF38" s="800"/>
      <c r="AG38" s="906">
        <f t="shared" si="28"/>
        <v>1559</v>
      </c>
      <c r="AH38" s="906">
        <f t="shared" si="31"/>
        <v>156</v>
      </c>
      <c r="AI38" s="906">
        <f t="shared" si="59"/>
        <v>1403</v>
      </c>
      <c r="AJ38" s="800"/>
      <c r="AK38" s="776"/>
      <c r="AN38" s="800"/>
      <c r="AO38" s="928" t="s">
        <v>700</v>
      </c>
      <c r="AP38" s="929">
        <f>'ANNEXURE II'!T7+'ANNEXURE II'!T25</f>
        <v>978405</v>
      </c>
      <c r="AR38" s="409" t="s">
        <v>701</v>
      </c>
      <c r="AS38" s="776"/>
      <c r="AT38" s="776"/>
      <c r="AU38" s="93">
        <f>25000+AP33</f>
        <v>25000</v>
      </c>
      <c r="AV38" s="776"/>
      <c r="AW38" s="800"/>
      <c r="AX38" s="776"/>
      <c r="BL38" s="726" t="s">
        <v>702</v>
      </c>
      <c r="BM38" s="387">
        <f>BM36-BM37</f>
        <v>73911</v>
      </c>
      <c r="BN38" s="387">
        <f>BN36-BN37</f>
        <v>0</v>
      </c>
      <c r="BO38" s="383">
        <f>BO36-'10E DATA'!N14</f>
        <v>0</v>
      </c>
      <c r="BQ38" s="870"/>
      <c r="BR38" s="925"/>
      <c r="BS38" s="920"/>
      <c r="BT38" s="920"/>
      <c r="BU38" s="921"/>
      <c r="BV38" s="920"/>
      <c r="BW38" s="870"/>
      <c r="BX38" s="922"/>
    </row>
    <row r="39" spans="1:76" ht="15.95" hidden="1" customHeight="1" x14ac:dyDescent="0.25">
      <c r="A39" s="800"/>
      <c r="B39" s="917">
        <v>52600</v>
      </c>
      <c r="C39" s="877">
        <f t="shared" si="15"/>
        <v>54060</v>
      </c>
      <c r="D39" s="882">
        <f t="shared" si="8"/>
        <v>55520</v>
      </c>
      <c r="E39" s="883">
        <v>55520</v>
      </c>
      <c r="F39" s="800"/>
      <c r="G39" s="911">
        <v>45536</v>
      </c>
      <c r="H39" s="776"/>
      <c r="I39" s="800"/>
      <c r="J39" s="886">
        <v>44958</v>
      </c>
      <c r="K39" s="877">
        <f t="shared" si="53"/>
        <v>52600</v>
      </c>
      <c r="L39" s="800"/>
      <c r="M39" s="887">
        <f>INDEX($J$3:$K$16,ROWS(J15:K$16),1)</f>
        <v>46023</v>
      </c>
      <c r="N39" s="10"/>
      <c r="O39" s="888">
        <f>INDEX($J$3:$K$16,ROWS(J15:K$16),2)</f>
        <v>57100</v>
      </c>
      <c r="P39" s="10" t="str">
        <f t="shared" si="0"/>
        <v/>
      </c>
      <c r="Q39" s="888">
        <f t="shared" si="1"/>
        <v>58680</v>
      </c>
      <c r="R39" s="888">
        <f t="shared" si="10"/>
        <v>57100</v>
      </c>
      <c r="S39" s="800"/>
      <c r="T39" s="853"/>
      <c r="U39" s="853"/>
      <c r="V39" s="853"/>
      <c r="W39" s="853"/>
      <c r="X39" s="853"/>
      <c r="Y39" s="778"/>
      <c r="Z39" s="778"/>
      <c r="AA39" s="800"/>
      <c r="AB39" s="887">
        <f>INDEX($J$3:$K$16,ROWS(X15:Y$16),1)</f>
        <v>46023</v>
      </c>
      <c r="AC39" s="906">
        <f>IF($AE$2&lt;M39, 0, ROUND(R39*$AE$5*100%,0) - ROUND(R39*$AE$4*100%,0))</f>
        <v>0</v>
      </c>
      <c r="AD39" s="906">
        <f t="shared" ref="AD39" si="60">IF(AC39=0,0,ROUND(R39*$AE$5*10%,0) - ROUND(R39*$AE$4*10%,0))</f>
        <v>0</v>
      </c>
      <c r="AE39" s="906">
        <f t="shared" si="21"/>
        <v>0</v>
      </c>
      <c r="AF39" s="800"/>
      <c r="AG39" s="906">
        <f t="shared" si="28"/>
        <v>1559</v>
      </c>
      <c r="AH39" s="906">
        <f t="shared" si="31"/>
        <v>156</v>
      </c>
      <c r="AI39" s="906">
        <f t="shared" si="59"/>
        <v>1403</v>
      </c>
      <c r="AJ39" s="800"/>
      <c r="AK39" s="776"/>
      <c r="AN39" s="800"/>
      <c r="AO39" s="930" t="s">
        <v>699</v>
      </c>
      <c r="AP39" s="929">
        <f>AU37</f>
        <v>185566</v>
      </c>
      <c r="AR39" s="776"/>
      <c r="AS39" s="776"/>
      <c r="AT39" s="776"/>
      <c r="AU39" s="776"/>
      <c r="AV39" s="776"/>
      <c r="AW39" s="800"/>
      <c r="AX39" s="776"/>
      <c r="BQ39" s="870"/>
      <c r="BR39" s="881"/>
      <c r="BS39" s="920"/>
      <c r="BT39" s="920"/>
      <c r="BU39" s="921"/>
      <c r="BV39" s="920"/>
      <c r="BW39" s="870"/>
      <c r="BX39" s="922"/>
    </row>
    <row r="40" spans="1:76" ht="15.95" hidden="1" customHeight="1" x14ac:dyDescent="0.25">
      <c r="A40" s="800"/>
      <c r="B40" s="917">
        <v>54060</v>
      </c>
      <c r="C40" s="877">
        <f t="shared" si="15"/>
        <v>55520</v>
      </c>
      <c r="D40" s="882">
        <f t="shared" si="8"/>
        <v>57100</v>
      </c>
      <c r="E40" s="883">
        <v>57100</v>
      </c>
      <c r="F40" s="800"/>
      <c r="G40" s="911">
        <v>45566</v>
      </c>
      <c r="H40" s="776"/>
      <c r="I40" s="800"/>
      <c r="J40" s="886">
        <v>44927</v>
      </c>
      <c r="K40" s="877">
        <f>IF(VALUE($H$8)&gt;VALUE(J40),LOOKUP($H$5,BP_2021,BP_2020),K39)</f>
        <v>52600</v>
      </c>
      <c r="L40" s="800"/>
      <c r="M40" s="887">
        <f>INDEX($J$3:$K$16,ROWS(J16:K$16),1)</f>
        <v>46054</v>
      </c>
      <c r="N40" s="10"/>
      <c r="O40" s="888">
        <f>INDEX($J$3:$K$16,ROWS(J16:K$16),2)</f>
        <v>57100</v>
      </c>
      <c r="P40" s="10" t="str">
        <f t="shared" ref="P40" si="61">IF(VALUE($H$11)=VALUE(M40),$G$11, "")</f>
        <v/>
      </c>
      <c r="Q40" s="888">
        <f t="shared" ref="Q40" si="62">IF(VALUE($H$11)&gt;VALUE(M40),LOOKUP(O40,BP_2021,BP_2020), IF(VALUE($H$11)&lt;=VALUE(M40),LOOKUP(O40,BP_2020,BP_2021),O40))</f>
        <v>58680</v>
      </c>
      <c r="R40" s="888">
        <f t="shared" si="10"/>
        <v>57100</v>
      </c>
      <c r="S40" s="800"/>
      <c r="T40" s="110" t="s">
        <v>703</v>
      </c>
      <c r="U40" s="110"/>
      <c r="V40" s="853"/>
      <c r="W40" s="77" t="s">
        <v>704</v>
      </c>
      <c r="X40" s="78" t="s">
        <v>595</v>
      </c>
      <c r="Y40" s="79" t="s">
        <v>705</v>
      </c>
      <c r="Z40" s="976"/>
      <c r="AA40" s="800"/>
      <c r="AB40" s="114" t="s">
        <v>706</v>
      </c>
      <c r="AC40" s="906"/>
      <c r="AD40" s="906"/>
      <c r="AE40" s="906"/>
      <c r="AF40" s="800"/>
      <c r="AG40" s="906">
        <f>IF($AI$2&lt;M41, 0, ROUND(R41*$AI$5*100%,0) - ROUND(R41*$AI$4*100%,0))</f>
        <v>1559</v>
      </c>
      <c r="AH40" s="906">
        <f>IF(AG40=0,0,ROUND(R41*$AI$5*10%,0) - ROUND(R41*$AI$4*10%,0))</f>
        <v>156</v>
      </c>
      <c r="AI40" s="906">
        <f t="shared" ref="AI40" si="63">AG40-AH40</f>
        <v>1403</v>
      </c>
      <c r="AJ40" s="800"/>
      <c r="AK40" s="776"/>
      <c r="AN40" s="800"/>
      <c r="AO40" s="94" t="s">
        <v>707</v>
      </c>
      <c r="AP40" s="929">
        <f>IF(AGE&lt;=60,BB8,IF(AGE&gt;80,BB17,BB26))</f>
        <v>71068</v>
      </c>
      <c r="AR40" s="410" t="s">
        <v>708</v>
      </c>
      <c r="AS40" s="931"/>
      <c r="AT40" s="931"/>
      <c r="AU40" s="776"/>
      <c r="AV40" s="776"/>
      <c r="AW40" s="800"/>
      <c r="AX40" s="776"/>
      <c r="BQ40" s="870"/>
      <c r="BR40" s="870"/>
      <c r="BS40" s="870"/>
      <c r="BT40" s="870"/>
      <c r="BU40" s="871"/>
      <c r="BV40" s="870"/>
      <c r="BW40" s="870"/>
      <c r="BX40" s="870"/>
    </row>
    <row r="41" spans="1:76" ht="15.95" hidden="1" customHeight="1" x14ac:dyDescent="0.25">
      <c r="A41" s="800"/>
      <c r="B41" s="917">
        <v>55520</v>
      </c>
      <c r="C41" s="877">
        <f t="shared" si="15"/>
        <v>57100</v>
      </c>
      <c r="D41" s="882">
        <f t="shared" si="8"/>
        <v>58680</v>
      </c>
      <c r="E41" s="883">
        <v>58680</v>
      </c>
      <c r="F41" s="800"/>
      <c r="G41" s="911">
        <v>45597</v>
      </c>
      <c r="H41" s="776"/>
      <c r="I41" s="800"/>
      <c r="J41" s="853"/>
      <c r="K41" s="853"/>
      <c r="L41" s="800"/>
      <c r="M41" s="932">
        <f>G3</f>
        <v>45717</v>
      </c>
      <c r="N41" s="15"/>
      <c r="O41" s="933">
        <f>H3</f>
        <v>57100</v>
      </c>
      <c r="P41" s="15" t="str">
        <f>IF(VALUE($H$11)=VALUE(M41),$G$11, "")</f>
        <v/>
      </c>
      <c r="Q41" s="933">
        <f>IF(VALUE($H$11)&gt;VALUE(M41),LOOKUP(O41,BP_2021,BP_2020), IF(VALUE($H$11)&lt;=VALUE(M41),LOOKUP(O41,BP_2020,BP_2021),O41))</f>
        <v>58680</v>
      </c>
      <c r="R41" s="933">
        <f t="shared" si="10"/>
        <v>57100</v>
      </c>
      <c r="S41" s="800"/>
      <c r="T41" s="111">
        <f>IF(DATA!D12="N.A.",0,DATA!D12)</f>
        <v>0</v>
      </c>
      <c r="U41" s="110"/>
      <c r="V41" s="853"/>
      <c r="W41" s="569" t="str">
        <f>AB41</f>
        <v>N.A.</v>
      </c>
      <c r="X41" s="80">
        <f>IFERROR(IF(VALUE(DATA!W34)&gt;=VALUE(KEY!AB9),LOOKUP(DATA!W34,KEY!M9:M40,KEY!R9:R40),0),0)</f>
        <v>0</v>
      </c>
      <c r="Y41" s="81">
        <f>IF(DATA!V34=30,KEY!X41,ROUND(KEY!X41/2,0))</f>
        <v>0</v>
      </c>
      <c r="Z41" s="977"/>
      <c r="AA41" s="800"/>
      <c r="AB41" s="934" t="str">
        <f>DATA!W34</f>
        <v>N.A.</v>
      </c>
      <c r="AC41" s="906">
        <f>ROUND(Y41*$AE$5*100%,0) - ROUND(Y41*$AE$4*100%,0)</f>
        <v>0</v>
      </c>
      <c r="AD41" s="906">
        <f>IF(AC41=0,0,ROUND(Y41*$AE$5*10%,0) - ROUND(Y41*$AE$4*10%,0))</f>
        <v>0</v>
      </c>
      <c r="AE41" s="906">
        <f t="shared" ref="AE41:AE43" si="64">AC41-AD41</f>
        <v>0</v>
      </c>
      <c r="AF41" s="800"/>
      <c r="AG41" s="776"/>
      <c r="AH41" s="776"/>
      <c r="AI41" s="776"/>
      <c r="AJ41" s="800"/>
      <c r="AK41" s="776"/>
      <c r="AN41" s="800"/>
      <c r="AO41" s="95" t="s">
        <v>709</v>
      </c>
      <c r="AP41" s="929">
        <f>BH9</f>
        <v>30341</v>
      </c>
      <c r="AR41" s="776"/>
      <c r="AS41" s="776"/>
      <c r="AT41" s="776"/>
      <c r="AU41" s="776"/>
      <c r="AV41" s="776"/>
      <c r="AW41" s="800"/>
      <c r="AX41" s="776"/>
      <c r="BQ41" s="870"/>
      <c r="BR41" s="870"/>
      <c r="BS41" s="870"/>
      <c r="BT41" s="870"/>
      <c r="BU41" s="871"/>
      <c r="BV41" s="870"/>
      <c r="BW41" s="870"/>
      <c r="BX41" s="870"/>
    </row>
    <row r="42" spans="1:76" ht="15.95" hidden="1" customHeight="1" x14ac:dyDescent="0.25">
      <c r="A42" s="800"/>
      <c r="B42" s="917">
        <v>57100</v>
      </c>
      <c r="C42" s="877">
        <f t="shared" si="15"/>
        <v>58680</v>
      </c>
      <c r="D42" s="882">
        <f t="shared" si="8"/>
        <v>60260</v>
      </c>
      <c r="E42" s="883">
        <v>60260</v>
      </c>
      <c r="F42" s="800"/>
      <c r="G42" s="911">
        <v>45627</v>
      </c>
      <c r="H42" s="776"/>
      <c r="I42" s="800"/>
      <c r="J42" s="853"/>
      <c r="K42" s="853"/>
      <c r="L42" s="800"/>
      <c r="M42" s="932">
        <v>45383</v>
      </c>
      <c r="N42" s="935"/>
      <c r="O42" s="936">
        <f>O41</f>
        <v>57100</v>
      </c>
      <c r="P42" s="15" t="str">
        <f>IF(VALUE($H$11)=VALUE(M42),$G$11, "")</f>
        <v>AAS</v>
      </c>
      <c r="Q42" s="933">
        <f>IF(VALUE($H$11)&gt;VALUE(M42),LOOKUP(O42,BP_2021,BP_2020), IF(VALUE($H$11)&lt;=VALUE(M42),LOOKUP(O42,BP_2020,BP_2021),O42))</f>
        <v>58680</v>
      </c>
      <c r="R42" s="933">
        <f t="shared" si="10"/>
        <v>57100</v>
      </c>
      <c r="S42" s="800"/>
      <c r="T42" s="111">
        <f>EOMONTH(T41,0)</f>
        <v>31</v>
      </c>
      <c r="U42" s="110"/>
      <c r="V42" s="853"/>
      <c r="W42" s="569" t="str">
        <f t="shared" ref="W42:W43" si="65">AB42</f>
        <v>N.A.</v>
      </c>
      <c r="X42" s="80">
        <f>IFERROR(LOOKUP(DATA!W35,KEY!M9:M40,KEY!R9:R40),0)</f>
        <v>0</v>
      </c>
      <c r="Y42" s="81">
        <f>IF(DATA!V35=30,KEY!X42,ROUND(KEY!X42/2,0))</f>
        <v>0</v>
      </c>
      <c r="Z42" s="977"/>
      <c r="AA42" s="800"/>
      <c r="AB42" s="934" t="str">
        <f>DATA!W35</f>
        <v>N.A.</v>
      </c>
      <c r="AC42" s="906">
        <f t="shared" ref="AC42" si="66">ROUND(Y42*$AE$5*100%,0) - ROUND(Y42*$AE$4*100%,0)</f>
        <v>0</v>
      </c>
      <c r="AD42" s="906">
        <f>IF(AC42=0,0,ROUND(Y42*$AE$5*10%,0) - ROUND(Y42*$AE$4*10%,0))</f>
        <v>0</v>
      </c>
      <c r="AE42" s="906">
        <f t="shared" si="64"/>
        <v>0</v>
      </c>
      <c r="AF42" s="800"/>
      <c r="AG42" s="776"/>
      <c r="AH42" s="776"/>
      <c r="AI42" s="776"/>
      <c r="AJ42" s="800"/>
      <c r="AK42" s="776"/>
      <c r="AN42" s="800"/>
      <c r="AO42" s="776"/>
      <c r="AP42" s="776"/>
      <c r="AR42" s="776"/>
      <c r="AS42" s="776"/>
      <c r="AT42" s="776"/>
      <c r="AU42" s="776"/>
      <c r="AV42" s="776"/>
      <c r="AW42" s="800"/>
      <c r="AX42" s="776"/>
      <c r="BQ42" s="870"/>
      <c r="BR42" s="870"/>
      <c r="BS42" s="870"/>
      <c r="BT42" s="870"/>
      <c r="BU42" s="871"/>
      <c r="BV42" s="870"/>
      <c r="BW42" s="870"/>
      <c r="BX42" s="870"/>
    </row>
    <row r="43" spans="1:76" ht="15.95" hidden="1" customHeight="1" x14ac:dyDescent="0.25">
      <c r="A43" s="800"/>
      <c r="B43" s="917">
        <v>58680</v>
      </c>
      <c r="C43" s="877">
        <f t="shared" si="15"/>
        <v>60260</v>
      </c>
      <c r="D43" s="882">
        <f t="shared" si="8"/>
        <v>61960</v>
      </c>
      <c r="E43" s="883">
        <v>61960</v>
      </c>
      <c r="F43" s="800"/>
      <c r="G43" s="911" t="s">
        <v>25</v>
      </c>
      <c r="H43" s="776"/>
      <c r="I43" s="800"/>
      <c r="J43" s="853"/>
      <c r="K43" s="17" t="s">
        <v>710</v>
      </c>
      <c r="L43" s="800"/>
      <c r="M43" s="776"/>
      <c r="N43" s="776"/>
      <c r="O43" s="776"/>
      <c r="P43" s="776"/>
      <c r="Q43" s="776"/>
      <c r="R43" s="776"/>
      <c r="S43" s="800"/>
      <c r="T43" s="110"/>
      <c r="U43" s="110"/>
      <c r="V43" s="853"/>
      <c r="W43" s="570" t="str">
        <f t="shared" si="65"/>
        <v>N.A.</v>
      </c>
      <c r="X43" s="284">
        <f>IFERROR(LOOKUP(DATA!D13,KEY!M9:M40,KEY!R9:R40),0)</f>
        <v>0</v>
      </c>
      <c r="Y43" s="285">
        <f>IF(DATA!D13="N.A.",0,IF(VALUE(DATA!D13)&gt;=VALUE(AB29),0,IF(AND(VALUE(DATA!D13)&lt;VALUE(AB29), DATA!E13=30),KEY!X43,IF(AND(VALUE(DATA!D13)&lt;VALUE(AB29), DATA!E13=15), ROUND(KEY!X43/2,0)))))</f>
        <v>0</v>
      </c>
      <c r="Z43" s="977"/>
      <c r="AA43" s="800"/>
      <c r="AB43" s="934" t="str">
        <f>IF(DATA!D13="N.A.","N.A.",IF(VALUE(DATA!D13)&gt;=VALUE(AB29),"N.A.",DATA!D13))</f>
        <v>N.A.</v>
      </c>
      <c r="AC43" s="906">
        <f>ROUND(Y43*$AE$5*100%,0) - ROUND(Y43*$AE$4*100%,0)</f>
        <v>0</v>
      </c>
      <c r="AD43" s="906">
        <f>IF(AC43=0,0,ROUND(Y43*$AE$5*10%,0) - ROUND(Y43*$AE$4*10%,0))</f>
        <v>0</v>
      </c>
      <c r="AE43" s="906">
        <f t="shared" si="64"/>
        <v>0</v>
      </c>
      <c r="AF43" s="800"/>
      <c r="AG43" s="776"/>
      <c r="AH43" s="776"/>
      <c r="AI43" s="776"/>
      <c r="AJ43" s="800"/>
      <c r="AK43" s="776"/>
      <c r="AL43" s="69"/>
      <c r="AN43" s="800"/>
      <c r="AO43" s="776"/>
      <c r="AP43" s="776"/>
      <c r="AQ43" s="69"/>
      <c r="AR43" s="776"/>
      <c r="AS43" s="776"/>
      <c r="AT43" s="776"/>
      <c r="AU43" s="776"/>
      <c r="AV43" s="776"/>
      <c r="AW43" s="800"/>
      <c r="AX43" s="776"/>
      <c r="BQ43" s="870"/>
      <c r="BR43" s="870"/>
      <c r="BS43" s="870"/>
      <c r="BT43" s="870"/>
      <c r="BU43" s="871"/>
      <c r="BV43" s="870"/>
      <c r="BW43" s="870"/>
      <c r="BX43" s="870"/>
    </row>
    <row r="44" spans="1:76" ht="15.95" hidden="1" customHeight="1" x14ac:dyDescent="0.25">
      <c r="A44" s="800"/>
      <c r="B44" s="917">
        <v>60260</v>
      </c>
      <c r="C44" s="877">
        <f t="shared" si="15"/>
        <v>61960</v>
      </c>
      <c r="D44" s="882">
        <f t="shared" si="8"/>
        <v>63660</v>
      </c>
      <c r="E44" s="883">
        <v>63660</v>
      </c>
      <c r="F44" s="800"/>
      <c r="G44" s="911">
        <v>45658</v>
      </c>
      <c r="H44" s="776"/>
      <c r="I44" s="800"/>
      <c r="J44" s="853"/>
      <c r="K44" s="864" t="s">
        <v>25</v>
      </c>
      <c r="L44" s="800"/>
      <c r="M44" s="776"/>
      <c r="N44" s="776"/>
      <c r="O44" s="325"/>
      <c r="P44" s="776"/>
      <c r="Q44" s="325"/>
      <c r="R44" s="776"/>
      <c r="S44" s="800"/>
      <c r="T44" s="110">
        <f>IF(DATA!D12="N.A.",0,DATEDIF(T41,T42,"MD"))</f>
        <v>0</v>
      </c>
      <c r="U44" s="110"/>
      <c r="V44" s="853"/>
      <c r="W44" s="934" t="str">
        <f>DATA!D13</f>
        <v>N.A.</v>
      </c>
      <c r="X44" s="283" t="s">
        <v>711</v>
      </c>
      <c r="Y44" s="81">
        <f>IF(AND(DATA!D13&lt;&gt;"N.A.",DATA!E13=30),KEY!X43,ROUND(KEY!X43/2,0))</f>
        <v>0</v>
      </c>
      <c r="Z44" s="977"/>
      <c r="AA44" s="800"/>
      <c r="AB44" s="937" t="s">
        <v>47</v>
      </c>
      <c r="AC44" s="938">
        <f>SUM(AC9:AC43)</f>
        <v>47444</v>
      </c>
      <c r="AD44" s="938">
        <f t="shared" ref="AD44:AE44" si="67">SUM(AD9:AD43)</f>
        <v>4744</v>
      </c>
      <c r="AE44" s="938">
        <f t="shared" si="67"/>
        <v>42700</v>
      </c>
      <c r="AF44" s="800"/>
      <c r="AG44" s="776"/>
      <c r="AH44" s="776"/>
      <c r="AI44" s="776"/>
      <c r="AJ44" s="800"/>
      <c r="AK44" s="776"/>
      <c r="AN44" s="800"/>
      <c r="AO44" s="776"/>
      <c r="AP44" s="776"/>
      <c r="AR44" s="776"/>
      <c r="AS44" s="776"/>
      <c r="AT44" s="776"/>
      <c r="AU44" s="776"/>
      <c r="AV44" s="776"/>
      <c r="AW44" s="800"/>
      <c r="AX44" s="776"/>
      <c r="BQ44" s="870"/>
      <c r="BR44" s="870"/>
      <c r="BS44" s="870"/>
      <c r="BT44" s="870"/>
      <c r="BU44" s="871"/>
      <c r="BV44" s="870"/>
      <c r="BW44" s="870"/>
      <c r="BX44" s="870"/>
    </row>
    <row r="45" spans="1:76" ht="15.95" hidden="1" customHeight="1" x14ac:dyDescent="0.25">
      <c r="A45" s="800"/>
      <c r="B45" s="917">
        <v>61960</v>
      </c>
      <c r="C45" s="877">
        <f t="shared" si="15"/>
        <v>63660</v>
      </c>
      <c r="D45" s="882">
        <f t="shared" si="8"/>
        <v>65360</v>
      </c>
      <c r="E45" s="883">
        <v>65360</v>
      </c>
      <c r="F45" s="800"/>
      <c r="G45" s="911">
        <v>45689</v>
      </c>
      <c r="H45" s="776"/>
      <c r="I45" s="800"/>
      <c r="J45" s="853"/>
      <c r="K45" s="939">
        <v>1</v>
      </c>
      <c r="L45" s="800"/>
      <c r="M45" s="776"/>
      <c r="N45" s="776"/>
      <c r="O45" s="940"/>
      <c r="P45" s="776"/>
      <c r="Q45" s="940"/>
      <c r="R45" s="776"/>
      <c r="S45" s="800"/>
      <c r="T45" s="110">
        <f>IF(DATA!D12="N.A.",0,T44+1)</f>
        <v>0</v>
      </c>
      <c r="U45" s="112" t="s">
        <v>712</v>
      </c>
      <c r="V45" s="853"/>
      <c r="W45" s="853"/>
      <c r="X45" s="853"/>
      <c r="Y45" s="778"/>
      <c r="Z45" s="778"/>
      <c r="AA45" s="800"/>
      <c r="AB45" s="114" t="s">
        <v>713</v>
      </c>
      <c r="AC45" s="906"/>
      <c r="AD45" s="906"/>
      <c r="AE45" s="906"/>
      <c r="AF45" s="800"/>
      <c r="AG45" s="776"/>
      <c r="AH45" s="776"/>
      <c r="AI45" s="776"/>
      <c r="AJ45" s="800"/>
      <c r="AK45" s="776"/>
      <c r="AN45" s="800"/>
      <c r="AO45" s="776"/>
      <c r="AP45" s="776"/>
      <c r="AR45" s="776"/>
      <c r="AS45" s="776"/>
      <c r="AT45" s="776"/>
      <c r="AU45" s="776"/>
      <c r="AV45" s="776"/>
      <c r="AW45" s="800"/>
      <c r="AX45" s="776"/>
      <c r="BQ45" s="870"/>
      <c r="BR45" s="870"/>
      <c r="BS45" s="870"/>
      <c r="BT45" s="870"/>
      <c r="BU45" s="871"/>
      <c r="BV45" s="870"/>
      <c r="BW45" s="870"/>
      <c r="BX45" s="870"/>
    </row>
    <row r="46" spans="1:76" ht="15.95" hidden="1" customHeight="1" x14ac:dyDescent="0.25">
      <c r="A46" s="800"/>
      <c r="B46" s="917">
        <v>63660</v>
      </c>
      <c r="C46" s="877">
        <f t="shared" si="15"/>
        <v>65360</v>
      </c>
      <c r="D46" s="882">
        <f t="shared" si="8"/>
        <v>67190</v>
      </c>
      <c r="E46" s="883">
        <v>67190</v>
      </c>
      <c r="F46" s="800"/>
      <c r="G46" s="911">
        <v>45717</v>
      </c>
      <c r="H46" s="729" t="s">
        <v>54</v>
      </c>
      <c r="I46" s="800"/>
      <c r="J46" s="853"/>
      <c r="K46" s="939">
        <v>2</v>
      </c>
      <c r="L46" s="800"/>
      <c r="M46" s="776"/>
      <c r="N46" s="776"/>
      <c r="O46" s="776"/>
      <c r="P46" s="776"/>
      <c r="Q46" s="776"/>
      <c r="R46" s="776"/>
      <c r="S46" s="800"/>
      <c r="T46" s="110">
        <f>IF(DATA!D12="N.A.",0,DATA!E12)</f>
        <v>0</v>
      </c>
      <c r="U46" s="113" t="s">
        <v>714</v>
      </c>
      <c r="V46" s="853"/>
      <c r="W46" s="853"/>
      <c r="X46" s="109" t="s">
        <v>715</v>
      </c>
      <c r="Y46" s="778">
        <f>IF(AND(VALUE(AB46)&gt;=VALUE(AB9),VALUE(AB46)&lt;VALUE(AB39)),T52,0)</f>
        <v>0</v>
      </c>
      <c r="Z46" s="778"/>
      <c r="AA46" s="800"/>
      <c r="AB46" s="934">
        <f>IF(DATA!D12="N.A.",0,DATA!D12)</f>
        <v>0</v>
      </c>
      <c r="AC46" s="906">
        <f>ROUND(Y46*$AE$5*100%,0) - ROUND(Y46*$AE$4*100%,0)</f>
        <v>0</v>
      </c>
      <c r="AD46" s="906">
        <f>IF(AC46=0,0,ROUND(Y46*$AE$5*10%,0) - ROUND(Y46*$AE$4*10%,0))</f>
        <v>0</v>
      </c>
      <c r="AE46" s="906">
        <f t="shared" ref="AE46" si="68">AC46-AD46</f>
        <v>0</v>
      </c>
      <c r="AF46" s="800"/>
      <c r="AG46" s="776"/>
      <c r="AH46" s="776"/>
      <c r="AI46" s="776"/>
      <c r="AJ46" s="800"/>
      <c r="AK46" s="776"/>
      <c r="AN46" s="800"/>
      <c r="AO46" s="776"/>
      <c r="AP46" s="776"/>
      <c r="AR46" s="776"/>
      <c r="AS46" s="776"/>
      <c r="AT46" s="776"/>
      <c r="AU46" s="776"/>
      <c r="AV46" s="776"/>
      <c r="AW46" s="800"/>
      <c r="AX46" s="776"/>
      <c r="BQ46" s="870"/>
      <c r="BR46" s="870"/>
      <c r="BS46" s="870"/>
      <c r="BT46" s="870"/>
      <c r="BU46" s="871"/>
      <c r="BV46" s="870"/>
      <c r="BW46" s="870"/>
      <c r="BX46" s="870"/>
    </row>
    <row r="47" spans="1:76" ht="15.95" hidden="1" customHeight="1" x14ac:dyDescent="0.25">
      <c r="A47" s="800"/>
      <c r="B47" s="917">
        <v>65360</v>
      </c>
      <c r="C47" s="877">
        <f t="shared" si="15"/>
        <v>67190</v>
      </c>
      <c r="D47" s="882">
        <f t="shared" si="8"/>
        <v>69020</v>
      </c>
      <c r="E47" s="883">
        <v>69020</v>
      </c>
      <c r="F47" s="800"/>
      <c r="G47" s="911">
        <v>45748</v>
      </c>
      <c r="H47" s="911">
        <f>G47</f>
        <v>45748</v>
      </c>
      <c r="I47" s="800"/>
      <c r="J47" s="853"/>
      <c r="K47" s="939">
        <v>3</v>
      </c>
      <c r="L47" s="800"/>
      <c r="M47" s="776"/>
      <c r="N47" s="776"/>
      <c r="O47" s="776"/>
      <c r="P47" s="776"/>
      <c r="Q47" s="776"/>
      <c r="R47" s="776"/>
      <c r="S47" s="800"/>
      <c r="T47" s="110">
        <f>IF(DATA!D12="N.A.",0,T45-T46+1)</f>
        <v>0</v>
      </c>
      <c r="U47" s="113" t="s">
        <v>716</v>
      </c>
      <c r="V47" s="853"/>
      <c r="W47" s="853"/>
      <c r="X47" s="853"/>
      <c r="Y47" s="778"/>
      <c r="Z47" s="778"/>
      <c r="AA47" s="800"/>
      <c r="AB47" s="937" t="s">
        <v>47</v>
      </c>
      <c r="AC47" s="938">
        <f>SUM(AC44,AC46)</f>
        <v>47444</v>
      </c>
      <c r="AD47" s="938">
        <f t="shared" ref="AD47:AE47" si="69">SUM(AD44,AD46)</f>
        <v>4744</v>
      </c>
      <c r="AE47" s="938">
        <f t="shared" si="69"/>
        <v>42700</v>
      </c>
      <c r="AF47" s="800"/>
      <c r="AG47" s="776"/>
      <c r="AH47" s="776"/>
      <c r="AI47" s="776"/>
      <c r="AJ47" s="800"/>
      <c r="AK47" s="776"/>
      <c r="AN47" s="800"/>
      <c r="AO47" s="776"/>
      <c r="AP47" s="776"/>
      <c r="AR47" s="776"/>
      <c r="AS47" s="776"/>
      <c r="AT47" s="776"/>
      <c r="AU47" s="776"/>
      <c r="AV47" s="776"/>
      <c r="AW47" s="800"/>
      <c r="AX47" s="776"/>
      <c r="BQ47" s="870"/>
      <c r="BR47" s="870"/>
      <c r="BS47" s="870"/>
      <c r="BT47" s="870"/>
      <c r="BU47" s="871"/>
      <c r="BV47" s="870"/>
      <c r="BW47" s="870"/>
      <c r="BX47" s="870"/>
    </row>
    <row r="48" spans="1:76" ht="15.95" hidden="1" customHeight="1" x14ac:dyDescent="0.25">
      <c r="A48" s="800"/>
      <c r="B48" s="917">
        <v>67190</v>
      </c>
      <c r="C48" s="877">
        <f t="shared" si="15"/>
        <v>69020</v>
      </c>
      <c r="D48" s="882">
        <f t="shared" si="8"/>
        <v>70850</v>
      </c>
      <c r="E48" s="883">
        <v>70850</v>
      </c>
      <c r="F48" s="800"/>
      <c r="G48" s="911">
        <v>45778</v>
      </c>
      <c r="H48" s="911">
        <f t="shared" ref="H48:H57" si="70">G48</f>
        <v>45778</v>
      </c>
      <c r="I48" s="800"/>
      <c r="J48" s="853"/>
      <c r="K48" s="939">
        <v>4</v>
      </c>
      <c r="L48" s="800"/>
      <c r="M48" s="776"/>
      <c r="N48" s="776"/>
      <c r="O48" s="940"/>
      <c r="P48" s="776"/>
      <c r="Q48" s="940"/>
      <c r="R48" s="776"/>
      <c r="S48" s="800"/>
      <c r="T48" s="110">
        <f>IF(DATA!D12="N.A.",0,T45-T47)</f>
        <v>0</v>
      </c>
      <c r="U48" s="113" t="s">
        <v>717</v>
      </c>
      <c r="V48" s="853"/>
      <c r="W48" s="853"/>
      <c r="X48" s="853"/>
      <c r="Y48" s="778"/>
      <c r="Z48" s="778"/>
      <c r="AA48" s="800"/>
      <c r="AB48" s="776"/>
      <c r="AC48" s="776"/>
      <c r="AD48" s="776"/>
      <c r="AE48" s="776"/>
      <c r="AF48" s="800"/>
      <c r="AG48" s="776"/>
      <c r="AH48" s="776"/>
      <c r="AI48" s="776"/>
      <c r="AJ48" s="800"/>
      <c r="AK48" s="776"/>
      <c r="AN48" s="800"/>
      <c r="AO48" s="776"/>
      <c r="AP48" s="776"/>
      <c r="AR48" s="776"/>
      <c r="AS48" s="776"/>
      <c r="AT48" s="776"/>
      <c r="AU48" s="776"/>
      <c r="AV48" s="776"/>
      <c r="AW48" s="800"/>
      <c r="AX48" s="776"/>
      <c r="BQ48" s="870"/>
      <c r="BR48" s="870"/>
      <c r="BS48" s="870"/>
      <c r="BT48" s="870"/>
      <c r="BU48" s="871"/>
      <c r="BV48" s="870"/>
      <c r="BW48" s="870"/>
      <c r="BX48" s="870"/>
    </row>
    <row r="49" spans="1:73" ht="15.95" hidden="1" customHeight="1" x14ac:dyDescent="0.25">
      <c r="A49" s="800"/>
      <c r="B49" s="917">
        <v>69020</v>
      </c>
      <c r="C49" s="877">
        <f t="shared" si="15"/>
        <v>70850</v>
      </c>
      <c r="D49" s="882">
        <f t="shared" si="8"/>
        <v>72810</v>
      </c>
      <c r="E49" s="883">
        <v>72810</v>
      </c>
      <c r="F49" s="800"/>
      <c r="G49" s="911">
        <v>45809</v>
      </c>
      <c r="H49" s="911">
        <f t="shared" si="70"/>
        <v>45809</v>
      </c>
      <c r="I49" s="800"/>
      <c r="J49" s="853"/>
      <c r="K49" s="939">
        <v>5</v>
      </c>
      <c r="L49" s="800"/>
      <c r="M49" s="776"/>
      <c r="N49" s="776"/>
      <c r="O49" s="776"/>
      <c r="P49" s="776"/>
      <c r="Q49" s="776"/>
      <c r="R49" s="776"/>
      <c r="S49" s="800"/>
      <c r="T49" s="110"/>
      <c r="U49" s="110"/>
      <c r="V49" s="853"/>
      <c r="W49" s="853"/>
      <c r="X49" s="853"/>
      <c r="Y49" s="778"/>
      <c r="Z49" s="778"/>
      <c r="AA49" s="800"/>
      <c r="AB49" s="776"/>
      <c r="AC49" s="776"/>
      <c r="AD49" s="776"/>
      <c r="AE49" s="776"/>
      <c r="AF49" s="800"/>
      <c r="AG49" s="776"/>
      <c r="AH49" s="776"/>
      <c r="AI49" s="776"/>
      <c r="AJ49" s="800"/>
      <c r="AK49" s="776"/>
      <c r="AN49" s="800"/>
      <c r="AO49" s="776"/>
      <c r="AP49" s="776"/>
      <c r="AR49" s="776"/>
      <c r="AS49" s="776"/>
      <c r="AT49" s="776"/>
      <c r="AU49" s="776"/>
      <c r="AV49" s="776"/>
      <c r="AW49" s="800"/>
      <c r="AX49" s="776"/>
      <c r="BQ49" s="870"/>
      <c r="BR49" s="870"/>
      <c r="BS49" s="870"/>
      <c r="BT49" s="870"/>
      <c r="BU49" s="871"/>
    </row>
    <row r="50" spans="1:73" ht="15.95" hidden="1" customHeight="1" x14ac:dyDescent="0.25">
      <c r="A50" s="800"/>
      <c r="B50" s="917">
        <v>70850</v>
      </c>
      <c r="C50" s="877">
        <f t="shared" si="15"/>
        <v>72810</v>
      </c>
      <c r="D50" s="882">
        <f t="shared" si="8"/>
        <v>74770</v>
      </c>
      <c r="E50" s="883">
        <v>74770</v>
      </c>
      <c r="F50" s="800"/>
      <c r="G50" s="911">
        <v>45839</v>
      </c>
      <c r="H50" s="911">
        <f t="shared" si="70"/>
        <v>45839</v>
      </c>
      <c r="I50" s="800"/>
      <c r="J50" s="853"/>
      <c r="K50" s="939">
        <v>6</v>
      </c>
      <c r="L50" s="800"/>
      <c r="M50" s="776"/>
      <c r="N50" s="776"/>
      <c r="O50" s="776"/>
      <c r="P50" s="776"/>
      <c r="Q50" s="776"/>
      <c r="R50" s="776"/>
      <c r="S50" s="800"/>
      <c r="T50" s="110">
        <f>LOOKUP(H11,M3:M41,R3:R41)</f>
        <v>54060</v>
      </c>
      <c r="U50" s="110" t="str">
        <f>"* "&amp;T47&amp;" / "&amp;T45</f>
        <v>* 0 / 0</v>
      </c>
      <c r="V50" s="853"/>
      <c r="W50" s="853"/>
      <c r="X50" s="853"/>
      <c r="Y50" s="778"/>
      <c r="Z50" s="778"/>
      <c r="AA50" s="800"/>
      <c r="AB50" s="776"/>
      <c r="AC50" s="776"/>
      <c r="AD50" s="776"/>
      <c r="AE50" s="776"/>
      <c r="AF50" s="800"/>
      <c r="AG50" s="776"/>
      <c r="AH50" s="776"/>
      <c r="AI50" s="776"/>
      <c r="AJ50" s="800"/>
      <c r="AK50" s="776"/>
      <c r="AN50" s="800"/>
      <c r="AO50" s="776"/>
      <c r="AP50" s="776"/>
      <c r="AR50" s="776"/>
      <c r="AS50" s="776"/>
      <c r="AT50" s="776"/>
      <c r="AU50" s="776"/>
      <c r="AV50" s="776"/>
      <c r="AW50" s="800"/>
      <c r="AX50" s="776"/>
      <c r="BQ50" s="870"/>
      <c r="BR50" s="870"/>
      <c r="BS50" s="870"/>
      <c r="BT50" s="870"/>
      <c r="BU50" s="871"/>
    </row>
    <row r="51" spans="1:73" ht="15.95" hidden="1" customHeight="1" x14ac:dyDescent="0.25">
      <c r="A51" s="800"/>
      <c r="B51" s="917">
        <v>72810</v>
      </c>
      <c r="C51" s="877">
        <f t="shared" si="15"/>
        <v>74770</v>
      </c>
      <c r="D51" s="882">
        <f t="shared" si="8"/>
        <v>76730</v>
      </c>
      <c r="E51" s="883">
        <v>76730</v>
      </c>
      <c r="F51" s="800"/>
      <c r="G51" s="911">
        <v>45870</v>
      </c>
      <c r="H51" s="911">
        <f t="shared" si="70"/>
        <v>45870</v>
      </c>
      <c r="I51" s="800"/>
      <c r="J51" s="853"/>
      <c r="K51" s="939">
        <v>7</v>
      </c>
      <c r="L51" s="800"/>
      <c r="M51" s="776"/>
      <c r="N51" s="776"/>
      <c r="O51" s="776"/>
      <c r="P51" s="776"/>
      <c r="Q51" s="776"/>
      <c r="R51" s="776"/>
      <c r="S51" s="800"/>
      <c r="T51" s="110">
        <f>LOOKUP(T50,BP_2021,BP_2020)</f>
        <v>52600</v>
      </c>
      <c r="U51" s="110" t="str">
        <f>"* "&amp;T48&amp;" / "&amp;T45</f>
        <v>* 0 / 0</v>
      </c>
      <c r="V51" s="853"/>
      <c r="W51" s="853"/>
      <c r="X51" s="853"/>
      <c r="Y51" s="778"/>
      <c r="Z51" s="778"/>
      <c r="AA51" s="800"/>
      <c r="AB51" s="776"/>
      <c r="AC51" s="776"/>
      <c r="AD51" s="776"/>
      <c r="AE51" s="776"/>
      <c r="AF51" s="800"/>
      <c r="AG51" s="776"/>
      <c r="AH51" s="776"/>
      <c r="AI51" s="776"/>
      <c r="AJ51" s="800"/>
      <c r="AK51" s="776"/>
      <c r="AN51" s="800"/>
      <c r="AO51" s="776"/>
      <c r="AP51" s="776"/>
      <c r="AR51" s="776"/>
      <c r="AS51" s="776"/>
      <c r="AT51" s="776"/>
      <c r="AU51" s="776"/>
      <c r="AV51" s="776"/>
      <c r="AW51" s="800"/>
      <c r="AX51" s="776"/>
      <c r="BQ51" s="870"/>
      <c r="BR51" s="870"/>
      <c r="BS51" s="870"/>
      <c r="BT51" s="870"/>
      <c r="BU51" s="871"/>
    </row>
    <row r="52" spans="1:73" ht="15.95" hidden="1" customHeight="1" x14ac:dyDescent="0.25">
      <c r="A52" s="800"/>
      <c r="B52" s="917">
        <v>74770</v>
      </c>
      <c r="C52" s="877">
        <f t="shared" si="15"/>
        <v>76730</v>
      </c>
      <c r="D52" s="882">
        <f t="shared" si="8"/>
        <v>78820</v>
      </c>
      <c r="E52" s="883">
        <v>78820</v>
      </c>
      <c r="F52" s="800"/>
      <c r="G52" s="911">
        <v>45901</v>
      </c>
      <c r="H52" s="911">
        <f t="shared" si="70"/>
        <v>45901</v>
      </c>
      <c r="I52" s="800"/>
      <c r="J52" s="853"/>
      <c r="K52" s="939">
        <v>8</v>
      </c>
      <c r="L52" s="800"/>
      <c r="M52" s="776"/>
      <c r="N52" s="776"/>
      <c r="O52" s="776"/>
      <c r="P52" s="776"/>
      <c r="Q52" s="776"/>
      <c r="R52" s="776"/>
      <c r="S52" s="800"/>
      <c r="T52" s="110">
        <f>IF(DATA!D12="",0,IF(DATA!D12="N.A.",0,ROUND((T50-T51)/T45*T47,0)))</f>
        <v>0</v>
      </c>
      <c r="U52" s="110" t="s">
        <v>168</v>
      </c>
      <c r="V52" s="853"/>
      <c r="W52" s="853"/>
      <c r="X52" s="853"/>
      <c r="Y52" s="778"/>
      <c r="Z52" s="778"/>
      <c r="AA52" s="800"/>
      <c r="AB52" s="776"/>
      <c r="AC52" s="776"/>
      <c r="AD52" s="776"/>
      <c r="AE52" s="776"/>
      <c r="AF52" s="800"/>
      <c r="AG52" s="776"/>
      <c r="AH52" s="776"/>
      <c r="AI52" s="776"/>
      <c r="AJ52" s="800"/>
      <c r="AK52" s="776"/>
      <c r="AN52" s="800"/>
      <c r="AO52" s="776"/>
      <c r="AP52" s="776"/>
      <c r="AR52" s="776"/>
      <c r="AS52" s="776"/>
      <c r="AT52" s="776"/>
      <c r="AU52" s="776"/>
      <c r="AV52" s="776"/>
      <c r="AW52" s="800"/>
      <c r="AX52" s="776"/>
      <c r="BQ52" s="870"/>
      <c r="BR52" s="870"/>
      <c r="BS52" s="870"/>
      <c r="BT52" s="870"/>
      <c r="BU52" s="871"/>
    </row>
    <row r="53" spans="1:73" ht="15.95" hidden="1" customHeight="1" x14ac:dyDescent="0.25">
      <c r="A53" s="800"/>
      <c r="B53" s="917">
        <v>76730</v>
      </c>
      <c r="C53" s="877">
        <f t="shared" si="15"/>
        <v>78820</v>
      </c>
      <c r="D53" s="882">
        <f t="shared" si="8"/>
        <v>80910</v>
      </c>
      <c r="E53" s="883">
        <v>80910</v>
      </c>
      <c r="F53" s="800"/>
      <c r="G53" s="911">
        <v>45931</v>
      </c>
      <c r="H53" s="911">
        <f t="shared" si="70"/>
        <v>45931</v>
      </c>
      <c r="I53" s="800"/>
      <c r="J53" s="853"/>
      <c r="K53" s="939">
        <v>9</v>
      </c>
      <c r="L53" s="800"/>
      <c r="M53" s="776"/>
      <c r="N53" s="776"/>
      <c r="O53" s="776"/>
      <c r="P53" s="776"/>
      <c r="Q53" s="776"/>
      <c r="R53" s="776"/>
      <c r="S53" s="800"/>
      <c r="T53" s="775">
        <f>IFERROR(IF(DATA!D12="",0,IF(DATA!D12="N.A.",0,LOOKUP(DATA!D12,T3:T14,W3:W14))),20.02%)</f>
        <v>0</v>
      </c>
      <c r="U53" s="110" t="s">
        <v>152</v>
      </c>
      <c r="V53" s="853"/>
      <c r="W53" s="853"/>
      <c r="X53" s="853"/>
      <c r="Y53" s="778"/>
      <c r="Z53" s="778"/>
      <c r="AA53" s="800"/>
      <c r="AB53" s="776"/>
      <c r="AC53" s="776"/>
      <c r="AD53" s="776"/>
      <c r="AE53" s="776"/>
      <c r="AF53" s="800"/>
      <c r="AG53" s="776"/>
      <c r="AH53" s="776"/>
      <c r="AI53" s="776"/>
      <c r="AJ53" s="800"/>
      <c r="AK53" s="776"/>
      <c r="AN53" s="800"/>
      <c r="AO53" s="776"/>
      <c r="AP53" s="776"/>
      <c r="AR53" s="776"/>
      <c r="AS53" s="776"/>
      <c r="AT53" s="776"/>
      <c r="AU53" s="776"/>
      <c r="AV53" s="776"/>
      <c r="AW53" s="800"/>
      <c r="AX53" s="776"/>
      <c r="BQ53" s="870"/>
      <c r="BR53" s="870"/>
      <c r="BS53" s="870"/>
      <c r="BT53" s="870"/>
      <c r="BU53" s="871"/>
    </row>
    <row r="54" spans="1:73" ht="15.95" hidden="1" customHeight="1" x14ac:dyDescent="0.25">
      <c r="A54" s="800"/>
      <c r="B54" s="917">
        <v>78820</v>
      </c>
      <c r="C54" s="877">
        <f t="shared" si="15"/>
        <v>80910</v>
      </c>
      <c r="D54" s="882">
        <f t="shared" si="8"/>
        <v>83000</v>
      </c>
      <c r="E54" s="883">
        <v>83000</v>
      </c>
      <c r="F54" s="800"/>
      <c r="G54" s="911">
        <v>45962</v>
      </c>
      <c r="H54" s="911">
        <f t="shared" si="70"/>
        <v>45962</v>
      </c>
      <c r="I54" s="800"/>
      <c r="J54" s="853"/>
      <c r="K54" s="939">
        <v>10</v>
      </c>
      <c r="L54" s="800"/>
      <c r="M54" s="776"/>
      <c r="N54" s="776"/>
      <c r="O54" s="776"/>
      <c r="P54" s="776"/>
      <c r="Q54" s="776"/>
      <c r="R54" s="776"/>
      <c r="S54" s="800"/>
      <c r="T54" s="775">
        <f>IFERROR(IF(DATA!D12="",0,IF(DATA!D12="N.A.",0,LOOKUP(DATA!D12,T3:T14,X3:X14))),50%)</f>
        <v>0</v>
      </c>
      <c r="U54" s="110" t="s">
        <v>132</v>
      </c>
      <c r="V54" s="853"/>
      <c r="W54" s="853"/>
      <c r="X54" s="853"/>
      <c r="Y54" s="778"/>
      <c r="Z54" s="778"/>
      <c r="AA54" s="800"/>
      <c r="AB54" s="776"/>
      <c r="AC54" s="776"/>
      <c r="AD54" s="776"/>
      <c r="AE54" s="776"/>
      <c r="AF54" s="800"/>
      <c r="AG54" s="776"/>
      <c r="AH54" s="776"/>
      <c r="AI54" s="776"/>
      <c r="AJ54" s="800"/>
      <c r="AK54" s="776"/>
      <c r="AN54" s="800"/>
      <c r="AO54" s="776"/>
      <c r="AP54" s="776"/>
      <c r="AR54" s="776"/>
      <c r="AS54" s="776"/>
      <c r="AT54" s="776"/>
      <c r="AU54" s="776"/>
      <c r="AV54" s="776"/>
      <c r="AW54" s="800"/>
      <c r="AX54" s="776"/>
      <c r="BQ54" s="870"/>
      <c r="BR54" s="870"/>
      <c r="BS54" s="870"/>
      <c r="BT54" s="870"/>
      <c r="BU54" s="871"/>
    </row>
    <row r="55" spans="1:73" ht="15.95" hidden="1" customHeight="1" x14ac:dyDescent="0.25">
      <c r="A55" s="800"/>
      <c r="B55" s="917">
        <v>80910</v>
      </c>
      <c r="C55" s="877">
        <f t="shared" si="15"/>
        <v>83000</v>
      </c>
      <c r="D55" s="882">
        <f t="shared" si="8"/>
        <v>85240</v>
      </c>
      <c r="E55" s="883">
        <v>85240</v>
      </c>
      <c r="F55" s="800"/>
      <c r="G55" s="911">
        <v>45992</v>
      </c>
      <c r="H55" s="911">
        <f t="shared" si="70"/>
        <v>45992</v>
      </c>
      <c r="I55" s="800"/>
      <c r="J55" s="853"/>
      <c r="K55" s="939">
        <v>11</v>
      </c>
      <c r="L55" s="800"/>
      <c r="M55" s="776"/>
      <c r="N55" s="776"/>
      <c r="O55" s="776"/>
      <c r="P55" s="776"/>
      <c r="Q55" s="776"/>
      <c r="R55" s="776"/>
      <c r="S55" s="800"/>
      <c r="T55" s="853"/>
      <c r="U55" s="853"/>
      <c r="V55" s="853"/>
      <c r="W55" s="853"/>
      <c r="X55" s="853"/>
      <c r="Y55" s="778"/>
      <c r="Z55" s="778"/>
      <c r="AA55" s="800"/>
      <c r="AB55" s="776"/>
      <c r="AC55" s="776"/>
      <c r="AD55" s="776"/>
      <c r="AE55" s="776"/>
      <c r="AF55" s="800"/>
      <c r="AG55" s="776"/>
      <c r="AH55" s="776"/>
      <c r="AI55" s="776"/>
      <c r="AJ55" s="800"/>
      <c r="AK55" s="776"/>
      <c r="AN55" s="800"/>
      <c r="AO55" s="776"/>
      <c r="AP55" s="776"/>
      <c r="AR55" s="776"/>
      <c r="AS55" s="776"/>
      <c r="AT55" s="776"/>
      <c r="AU55" s="776"/>
      <c r="AV55" s="776"/>
      <c r="AW55" s="800"/>
      <c r="AX55" s="776"/>
      <c r="BQ55" s="870"/>
      <c r="BR55" s="870"/>
      <c r="BS55" s="870"/>
      <c r="BT55" s="870"/>
      <c r="BU55" s="871"/>
    </row>
    <row r="56" spans="1:73" ht="15.95" hidden="1" customHeight="1" x14ac:dyDescent="0.25">
      <c r="A56" s="800"/>
      <c r="B56" s="917">
        <v>83000</v>
      </c>
      <c r="C56" s="877">
        <f t="shared" si="15"/>
        <v>85240</v>
      </c>
      <c r="D56" s="882">
        <f t="shared" si="8"/>
        <v>87480</v>
      </c>
      <c r="E56" s="883">
        <v>87480</v>
      </c>
      <c r="F56" s="800"/>
      <c r="G56" s="911">
        <v>46023</v>
      </c>
      <c r="H56" s="911">
        <f t="shared" si="70"/>
        <v>46023</v>
      </c>
      <c r="I56" s="800"/>
      <c r="J56" s="853"/>
      <c r="K56" s="939">
        <v>12</v>
      </c>
      <c r="L56" s="800"/>
      <c r="M56" s="776"/>
      <c r="N56" s="776"/>
      <c r="O56" s="776"/>
      <c r="P56" s="776"/>
      <c r="Q56" s="776"/>
      <c r="R56" s="776"/>
      <c r="S56" s="800"/>
      <c r="T56" s="853"/>
      <c r="U56" s="853"/>
      <c r="V56" s="853"/>
      <c r="W56" s="853"/>
      <c r="X56" s="853"/>
      <c r="Y56" s="778"/>
      <c r="Z56" s="778"/>
      <c r="AA56" s="800"/>
      <c r="AB56" s="776"/>
      <c r="AC56" s="776"/>
      <c r="AD56" s="776"/>
      <c r="AE56" s="776"/>
      <c r="AF56" s="800"/>
      <c r="AG56" s="776"/>
      <c r="AH56" s="776"/>
      <c r="AI56" s="776"/>
      <c r="AJ56" s="800"/>
      <c r="AK56" s="776"/>
      <c r="AN56" s="800"/>
      <c r="AO56" s="776"/>
      <c r="AP56" s="776"/>
      <c r="AR56" s="776"/>
      <c r="AS56" s="776"/>
      <c r="AT56" s="776"/>
      <c r="AU56" s="776"/>
      <c r="AV56" s="776"/>
      <c r="AW56" s="800"/>
      <c r="AX56" s="776"/>
      <c r="BQ56" s="870"/>
      <c r="BR56" s="870"/>
      <c r="BS56" s="870"/>
      <c r="BT56" s="870"/>
      <c r="BU56" s="871"/>
    </row>
    <row r="57" spans="1:73" ht="15.95" hidden="1" customHeight="1" x14ac:dyDescent="0.25">
      <c r="A57" s="800"/>
      <c r="B57" s="917">
        <v>85240</v>
      </c>
      <c r="C57" s="877">
        <f t="shared" si="15"/>
        <v>87480</v>
      </c>
      <c r="D57" s="882">
        <f t="shared" si="8"/>
        <v>89720</v>
      </c>
      <c r="E57" s="883">
        <v>89720</v>
      </c>
      <c r="F57" s="800"/>
      <c r="G57" s="911">
        <v>46054</v>
      </c>
      <c r="H57" s="911">
        <f t="shared" si="70"/>
        <v>46054</v>
      </c>
      <c r="I57" s="800"/>
      <c r="J57" s="853"/>
      <c r="K57" s="939">
        <v>13</v>
      </c>
      <c r="L57" s="800"/>
      <c r="M57" s="776"/>
      <c r="N57" s="776"/>
      <c r="O57" s="776"/>
      <c r="P57" s="776"/>
      <c r="Q57" s="776"/>
      <c r="R57" s="776"/>
      <c r="S57" s="800"/>
      <c r="T57" s="853"/>
      <c r="U57" s="853"/>
      <c r="V57" s="853"/>
      <c r="W57" s="853"/>
      <c r="X57" s="853"/>
      <c r="Y57" s="778"/>
      <c r="Z57" s="778"/>
      <c r="AA57" s="800"/>
      <c r="AB57" s="776"/>
      <c r="AC57" s="776"/>
      <c r="AD57" s="776"/>
      <c r="AE57" s="776"/>
      <c r="AF57" s="800"/>
      <c r="AG57" s="776"/>
      <c r="AH57" s="776"/>
      <c r="AI57" s="776"/>
      <c r="AJ57" s="800"/>
      <c r="AK57" s="776"/>
      <c r="AN57" s="800"/>
      <c r="AO57" s="776"/>
      <c r="AP57" s="776"/>
      <c r="AR57" s="776"/>
      <c r="AS57" s="776"/>
      <c r="AT57" s="776"/>
      <c r="AU57" s="776"/>
      <c r="AV57" s="776"/>
      <c r="AW57" s="800"/>
      <c r="AX57" s="776"/>
      <c r="BQ57" s="870"/>
      <c r="BR57" s="870"/>
      <c r="BS57" s="870"/>
      <c r="BT57" s="870"/>
      <c r="BU57" s="871"/>
    </row>
    <row r="58" spans="1:73" ht="15.95" hidden="1" customHeight="1" x14ac:dyDescent="0.25">
      <c r="A58" s="800"/>
      <c r="B58" s="917">
        <v>87480</v>
      </c>
      <c r="C58" s="877">
        <f t="shared" si="15"/>
        <v>89720</v>
      </c>
      <c r="D58" s="882">
        <f t="shared" si="8"/>
        <v>92110</v>
      </c>
      <c r="E58" s="883">
        <v>92110</v>
      </c>
      <c r="F58" s="800"/>
      <c r="G58" s="911" t="s">
        <v>25</v>
      </c>
      <c r="H58" s="568" t="s">
        <v>54</v>
      </c>
      <c r="I58" s="800"/>
      <c r="J58" s="853"/>
      <c r="K58" s="939">
        <v>14</v>
      </c>
      <c r="L58" s="800"/>
      <c r="M58" s="776"/>
      <c r="N58" s="776"/>
      <c r="O58" s="776"/>
      <c r="P58" s="776"/>
      <c r="Q58" s="776"/>
      <c r="R58" s="776"/>
      <c r="S58" s="800"/>
      <c r="T58" s="853"/>
      <c r="U58" s="853"/>
      <c r="V58" s="853"/>
      <c r="W58" s="853"/>
      <c r="X58" s="853"/>
      <c r="Y58" s="778"/>
      <c r="Z58" s="778"/>
      <c r="AA58" s="800"/>
      <c r="AB58" s="776"/>
      <c r="AC58" s="776"/>
      <c r="AD58" s="776"/>
      <c r="AE58" s="776"/>
      <c r="AF58" s="800"/>
      <c r="AG58" s="776"/>
      <c r="AH58" s="776"/>
      <c r="AI58" s="776"/>
      <c r="AJ58" s="800"/>
      <c r="AK58" s="776"/>
      <c r="AN58" s="800"/>
      <c r="AO58" s="776"/>
      <c r="AP58" s="776"/>
      <c r="AR58" s="776"/>
      <c r="AS58" s="776"/>
      <c r="AT58" s="776"/>
      <c r="AU58" s="776"/>
      <c r="AV58" s="776"/>
      <c r="AW58" s="800"/>
      <c r="AX58" s="776"/>
      <c r="BQ58" s="870"/>
      <c r="BR58" s="870"/>
      <c r="BS58" s="870"/>
      <c r="BT58" s="870"/>
      <c r="BU58" s="871"/>
    </row>
    <row r="59" spans="1:73" ht="15.95" hidden="1" customHeight="1" x14ac:dyDescent="0.25">
      <c r="A59" s="800"/>
      <c r="B59" s="917">
        <v>89720</v>
      </c>
      <c r="C59" s="877">
        <f t="shared" si="15"/>
        <v>92110</v>
      </c>
      <c r="D59" s="882">
        <f t="shared" si="8"/>
        <v>94500</v>
      </c>
      <c r="E59" s="883">
        <v>94500</v>
      </c>
      <c r="F59" s="800"/>
      <c r="G59" s="941">
        <v>46113</v>
      </c>
      <c r="H59" s="776"/>
      <c r="I59" s="800"/>
      <c r="J59" s="853"/>
      <c r="K59" s="939">
        <v>15</v>
      </c>
      <c r="L59" s="800"/>
      <c r="M59" s="776"/>
      <c r="N59" s="776"/>
      <c r="O59" s="776"/>
      <c r="P59" s="776"/>
      <c r="Q59" s="776"/>
      <c r="R59" s="776"/>
      <c r="S59" s="800"/>
      <c r="T59" s="853"/>
      <c r="U59" s="853"/>
      <c r="V59" s="853"/>
      <c r="W59" s="853"/>
      <c r="X59" s="853"/>
      <c r="Y59" s="778"/>
      <c r="Z59" s="778"/>
      <c r="AA59" s="800"/>
      <c r="AB59" s="776"/>
      <c r="AC59" s="776"/>
      <c r="AD59" s="776"/>
      <c r="AE59" s="776"/>
      <c r="AF59" s="800"/>
      <c r="AG59" s="776"/>
      <c r="AH59" s="776"/>
      <c r="AI59" s="776"/>
      <c r="AJ59" s="800"/>
      <c r="AK59" s="776"/>
      <c r="AN59" s="800"/>
      <c r="AO59" s="776"/>
      <c r="AP59" s="776"/>
      <c r="AR59" s="776"/>
      <c r="AS59" s="776"/>
      <c r="AT59" s="776"/>
      <c r="AU59" s="776"/>
      <c r="AV59" s="776"/>
      <c r="AW59" s="800"/>
      <c r="AX59" s="776"/>
      <c r="BQ59" s="870"/>
      <c r="BR59" s="870"/>
      <c r="BS59" s="870"/>
      <c r="BT59" s="870"/>
      <c r="BU59" s="871"/>
    </row>
    <row r="60" spans="1:73" ht="15.95" hidden="1" customHeight="1" x14ac:dyDescent="0.25">
      <c r="A60" s="800"/>
      <c r="B60" s="917">
        <v>92110</v>
      </c>
      <c r="C60" s="877">
        <f t="shared" si="15"/>
        <v>94500</v>
      </c>
      <c r="D60" s="882">
        <f t="shared" si="8"/>
        <v>96890</v>
      </c>
      <c r="E60" s="883">
        <v>96890</v>
      </c>
      <c r="F60" s="800"/>
      <c r="G60" s="776"/>
      <c r="H60" s="776"/>
      <c r="I60" s="800"/>
      <c r="J60" s="853"/>
      <c r="K60" s="939">
        <v>16</v>
      </c>
      <c r="L60" s="800"/>
      <c r="M60" s="776"/>
      <c r="N60" s="776"/>
      <c r="O60" s="776"/>
      <c r="P60" s="776"/>
      <c r="Q60" s="776"/>
      <c r="R60" s="776"/>
      <c r="S60" s="800"/>
      <c r="T60" s="853"/>
      <c r="U60" s="853"/>
      <c r="V60" s="853"/>
      <c r="W60" s="853"/>
      <c r="X60" s="853"/>
      <c r="Y60" s="778"/>
      <c r="Z60" s="778"/>
      <c r="AA60" s="800"/>
      <c r="AB60" s="776"/>
      <c r="AC60" s="776"/>
      <c r="AD60" s="776"/>
      <c r="AE60" s="776"/>
      <c r="AF60" s="800"/>
      <c r="AG60" s="776"/>
      <c r="AH60" s="776"/>
      <c r="AI60" s="776"/>
      <c r="AJ60" s="800"/>
      <c r="AK60" s="776"/>
      <c r="AN60" s="800"/>
      <c r="AO60" s="776"/>
      <c r="AP60" s="776"/>
      <c r="AR60" s="776"/>
      <c r="AS60" s="776"/>
      <c r="AT60" s="776"/>
      <c r="AU60" s="776"/>
      <c r="AV60" s="776"/>
      <c r="AW60" s="800"/>
      <c r="AX60" s="776"/>
      <c r="BQ60" s="870"/>
      <c r="BR60" s="870"/>
      <c r="BS60" s="870"/>
      <c r="BT60" s="870"/>
      <c r="BU60" s="871"/>
    </row>
    <row r="61" spans="1:73" ht="15.95" hidden="1" customHeight="1" x14ac:dyDescent="0.25">
      <c r="A61" s="800"/>
      <c r="B61" s="917">
        <v>94500</v>
      </c>
      <c r="C61" s="877">
        <f t="shared" si="15"/>
        <v>96890</v>
      </c>
      <c r="D61" s="882">
        <f t="shared" si="8"/>
        <v>99430</v>
      </c>
      <c r="E61" s="883">
        <v>99430</v>
      </c>
      <c r="F61" s="800"/>
      <c r="G61" s="776"/>
      <c r="H61" s="776"/>
      <c r="I61" s="800"/>
      <c r="J61" s="853"/>
      <c r="K61" s="939">
        <v>17</v>
      </c>
      <c r="L61" s="800"/>
      <c r="M61" s="776"/>
      <c r="N61" s="776"/>
      <c r="O61" s="776"/>
      <c r="P61" s="776"/>
      <c r="Q61" s="776"/>
      <c r="R61" s="776"/>
      <c r="S61" s="800"/>
      <c r="T61" s="853"/>
      <c r="U61" s="853"/>
      <c r="V61" s="853"/>
      <c r="W61" s="853"/>
      <c r="X61" s="853"/>
      <c r="Y61" s="778"/>
      <c r="Z61" s="778"/>
      <c r="AA61" s="800"/>
      <c r="AB61" s="776"/>
      <c r="AC61" s="776"/>
      <c r="AD61" s="776"/>
      <c r="AE61" s="776"/>
      <c r="AF61" s="800"/>
      <c r="AG61" s="776"/>
      <c r="AH61" s="776"/>
      <c r="AI61" s="776"/>
      <c r="AJ61" s="800"/>
      <c r="AK61" s="776"/>
      <c r="AN61" s="800"/>
      <c r="AO61" s="776"/>
      <c r="AP61" s="776"/>
      <c r="AR61" s="776"/>
      <c r="AS61" s="776"/>
      <c r="AT61" s="776"/>
      <c r="AU61" s="776"/>
      <c r="AV61" s="776"/>
      <c r="AW61" s="800"/>
      <c r="AX61" s="776"/>
      <c r="BQ61" s="870"/>
      <c r="BR61" s="870"/>
      <c r="BS61" s="870"/>
      <c r="BT61" s="870"/>
      <c r="BU61" s="871"/>
    </row>
    <row r="62" spans="1:73" ht="15.95" hidden="1" customHeight="1" x14ac:dyDescent="0.25">
      <c r="A62" s="800"/>
      <c r="B62" s="917">
        <v>96890</v>
      </c>
      <c r="C62" s="877">
        <f t="shared" si="15"/>
        <v>99430</v>
      </c>
      <c r="D62" s="882">
        <f t="shared" si="8"/>
        <v>101970</v>
      </c>
      <c r="E62" s="883">
        <v>101970</v>
      </c>
      <c r="F62" s="800"/>
      <c r="G62" s="776"/>
      <c r="H62" s="776"/>
      <c r="I62" s="800"/>
      <c r="J62" s="853"/>
      <c r="K62" s="939">
        <v>18</v>
      </c>
      <c r="L62" s="800"/>
      <c r="M62" s="776"/>
      <c r="N62" s="776"/>
      <c r="O62" s="776"/>
      <c r="P62" s="776"/>
      <c r="Q62" s="776"/>
      <c r="R62" s="776"/>
      <c r="S62" s="800"/>
      <c r="T62" s="853"/>
      <c r="U62" s="853"/>
      <c r="V62" s="853"/>
      <c r="W62" s="853"/>
      <c r="X62" s="853"/>
      <c r="Y62" s="778"/>
      <c r="Z62" s="778"/>
      <c r="AA62" s="800"/>
      <c r="AB62" s="776"/>
      <c r="AC62" s="776"/>
      <c r="AD62" s="776"/>
      <c r="AE62" s="776"/>
      <c r="AF62" s="800"/>
      <c r="AG62" s="776"/>
      <c r="AH62" s="776"/>
      <c r="AI62" s="776"/>
      <c r="AJ62" s="800"/>
      <c r="AK62" s="776"/>
      <c r="AN62" s="800"/>
      <c r="AO62" s="776"/>
      <c r="AP62" s="776"/>
      <c r="AR62" s="776"/>
      <c r="AS62" s="776"/>
      <c r="AT62" s="776"/>
      <c r="AU62" s="776"/>
      <c r="AV62" s="776"/>
      <c r="AW62" s="800"/>
      <c r="AX62" s="776"/>
      <c r="BQ62" s="870"/>
      <c r="BR62" s="870"/>
      <c r="BS62" s="870"/>
      <c r="BT62" s="870"/>
      <c r="BU62" s="871"/>
    </row>
    <row r="63" spans="1:73" ht="15.95" hidden="1" customHeight="1" x14ac:dyDescent="0.25">
      <c r="A63" s="800"/>
      <c r="B63" s="917">
        <v>99430</v>
      </c>
      <c r="C63" s="877">
        <f t="shared" si="15"/>
        <v>101970</v>
      </c>
      <c r="D63" s="882">
        <f t="shared" si="8"/>
        <v>104510</v>
      </c>
      <c r="E63" s="883">
        <v>104510</v>
      </c>
      <c r="F63" s="800"/>
      <c r="G63" s="776"/>
      <c r="H63" s="776"/>
      <c r="I63" s="800"/>
      <c r="J63" s="853"/>
      <c r="K63" s="939">
        <v>19</v>
      </c>
      <c r="L63" s="800"/>
      <c r="M63" s="776"/>
      <c r="N63" s="776"/>
      <c r="O63" s="776"/>
      <c r="P63" s="776"/>
      <c r="Q63" s="776"/>
      <c r="R63" s="776"/>
      <c r="S63" s="800"/>
      <c r="T63" s="853"/>
      <c r="U63" s="853"/>
      <c r="V63" s="853"/>
      <c r="W63" s="853"/>
      <c r="X63" s="853"/>
      <c r="Y63" s="778"/>
      <c r="Z63" s="778"/>
      <c r="AA63" s="800"/>
      <c r="AB63" s="776"/>
      <c r="AC63" s="776"/>
      <c r="AD63" s="776"/>
      <c r="AE63" s="776"/>
      <c r="AF63" s="800"/>
      <c r="AG63" s="776"/>
      <c r="AH63" s="776"/>
      <c r="AI63" s="776"/>
      <c r="AJ63" s="800"/>
      <c r="AK63" s="776"/>
      <c r="AN63" s="800"/>
      <c r="AO63" s="776"/>
      <c r="AP63" s="776"/>
      <c r="AR63" s="776"/>
      <c r="AS63" s="776"/>
      <c r="AT63" s="776"/>
      <c r="AU63" s="776"/>
      <c r="AV63" s="776"/>
      <c r="AW63" s="800"/>
      <c r="AX63" s="776"/>
      <c r="BQ63" s="870"/>
      <c r="BR63" s="870"/>
      <c r="BS63" s="870"/>
      <c r="BT63" s="870"/>
      <c r="BU63" s="871"/>
    </row>
    <row r="64" spans="1:73" ht="15.95" hidden="1" customHeight="1" x14ac:dyDescent="0.25">
      <c r="A64" s="800"/>
      <c r="B64" s="917">
        <v>101970</v>
      </c>
      <c r="C64" s="877">
        <f t="shared" si="15"/>
        <v>104510</v>
      </c>
      <c r="D64" s="882">
        <f t="shared" si="8"/>
        <v>107210</v>
      </c>
      <c r="E64" s="883">
        <v>107210</v>
      </c>
      <c r="F64" s="800"/>
      <c r="G64" s="776"/>
      <c r="H64" s="776"/>
      <c r="I64" s="800"/>
      <c r="J64" s="853"/>
      <c r="K64" s="939">
        <v>20</v>
      </c>
      <c r="L64" s="800"/>
      <c r="M64" s="776"/>
      <c r="N64" s="776"/>
      <c r="O64" s="776"/>
      <c r="P64" s="776"/>
      <c r="Q64" s="776"/>
      <c r="R64" s="776"/>
      <c r="S64" s="800"/>
      <c r="T64" s="853"/>
      <c r="U64" s="853"/>
      <c r="V64" s="853"/>
      <c r="W64" s="853"/>
      <c r="X64" s="853"/>
      <c r="Y64" s="778"/>
      <c r="Z64" s="778"/>
      <c r="AA64" s="800"/>
      <c r="AB64" s="776"/>
      <c r="AC64" s="776"/>
      <c r="AD64" s="776"/>
      <c r="AE64" s="776"/>
      <c r="AF64" s="800"/>
      <c r="AG64" s="776"/>
      <c r="AH64" s="776"/>
      <c r="AI64" s="776"/>
      <c r="AJ64" s="800"/>
      <c r="AK64" s="776"/>
      <c r="AN64" s="800"/>
      <c r="AO64" s="776"/>
      <c r="AP64" s="776"/>
      <c r="AR64" s="776"/>
      <c r="AS64" s="776"/>
      <c r="AT64" s="776"/>
      <c r="AU64" s="776"/>
      <c r="AV64" s="776"/>
      <c r="AW64" s="800"/>
      <c r="AX64" s="776"/>
      <c r="BQ64" s="870"/>
      <c r="BR64" s="870"/>
      <c r="BS64" s="870"/>
      <c r="BT64" s="870"/>
      <c r="BU64" s="871"/>
    </row>
    <row r="65" spans="1:73" ht="15.95" hidden="1" customHeight="1" x14ac:dyDescent="0.25">
      <c r="A65" s="800"/>
      <c r="B65" s="917">
        <v>104510</v>
      </c>
      <c r="C65" s="877">
        <f t="shared" si="15"/>
        <v>107210</v>
      </c>
      <c r="D65" s="882">
        <f t="shared" si="8"/>
        <v>109910</v>
      </c>
      <c r="E65" s="883">
        <v>109910</v>
      </c>
      <c r="F65" s="800"/>
      <c r="G65" s="776"/>
      <c r="H65" s="776"/>
      <c r="I65" s="800"/>
      <c r="J65" s="853"/>
      <c r="K65" s="939">
        <v>21</v>
      </c>
      <c r="L65" s="800"/>
      <c r="M65" s="776"/>
      <c r="N65" s="776"/>
      <c r="O65" s="776"/>
      <c r="P65" s="776"/>
      <c r="Q65" s="776"/>
      <c r="R65" s="776"/>
      <c r="S65" s="800"/>
      <c r="T65" s="853"/>
      <c r="U65" s="853"/>
      <c r="V65" s="853"/>
      <c r="W65" s="853"/>
      <c r="X65" s="853"/>
      <c r="Y65" s="778"/>
      <c r="Z65" s="778"/>
      <c r="AA65" s="800"/>
      <c r="AB65" s="776"/>
      <c r="AC65" s="776"/>
      <c r="AD65" s="776"/>
      <c r="AE65" s="776"/>
      <c r="AF65" s="800"/>
      <c r="AG65" s="776"/>
      <c r="AH65" s="776"/>
      <c r="AI65" s="776"/>
      <c r="AJ65" s="800"/>
      <c r="AK65" s="776"/>
      <c r="AN65" s="800"/>
      <c r="AO65" s="776"/>
      <c r="AP65" s="776"/>
      <c r="AR65" s="776"/>
      <c r="AS65" s="776"/>
      <c r="AT65" s="776"/>
      <c r="AU65" s="776"/>
      <c r="AV65" s="776"/>
      <c r="AW65" s="800"/>
      <c r="AX65" s="776"/>
      <c r="BQ65" s="870"/>
      <c r="BR65" s="870"/>
      <c r="BS65" s="870"/>
      <c r="BT65" s="870"/>
      <c r="BU65" s="871"/>
    </row>
    <row r="66" spans="1:73" ht="15.95" hidden="1" customHeight="1" x14ac:dyDescent="0.25">
      <c r="A66" s="800"/>
      <c r="B66" s="917">
        <v>107210</v>
      </c>
      <c r="C66" s="877">
        <f t="shared" si="15"/>
        <v>109910</v>
      </c>
      <c r="D66" s="882">
        <f t="shared" si="8"/>
        <v>112610</v>
      </c>
      <c r="E66" s="883">
        <v>112610</v>
      </c>
      <c r="F66" s="800"/>
      <c r="G66" s="776"/>
      <c r="H66" s="776"/>
      <c r="I66" s="800"/>
      <c r="J66" s="853"/>
      <c r="K66" s="939">
        <v>22</v>
      </c>
      <c r="L66" s="800"/>
      <c r="M66" s="776"/>
      <c r="N66" s="776"/>
      <c r="O66" s="776"/>
      <c r="P66" s="776"/>
      <c r="Q66" s="776"/>
      <c r="R66" s="776"/>
      <c r="S66" s="800"/>
      <c r="T66" s="853"/>
      <c r="U66" s="853"/>
      <c r="V66" s="853"/>
      <c r="W66" s="853"/>
      <c r="X66" s="853"/>
      <c r="Y66" s="778"/>
      <c r="Z66" s="778"/>
      <c r="AA66" s="800"/>
      <c r="AB66" s="776"/>
      <c r="AC66" s="776"/>
      <c r="AD66" s="776"/>
      <c r="AE66" s="776"/>
      <c r="AF66" s="800"/>
      <c r="AG66" s="776"/>
      <c r="AH66" s="776"/>
      <c r="AI66" s="776"/>
      <c r="AJ66" s="800"/>
      <c r="AK66" s="776"/>
      <c r="AN66" s="800"/>
      <c r="AO66" s="776"/>
      <c r="AP66" s="776"/>
      <c r="AR66" s="776"/>
      <c r="AS66" s="776"/>
      <c r="AT66" s="776"/>
      <c r="AU66" s="776"/>
      <c r="AV66" s="776"/>
      <c r="AW66" s="800"/>
      <c r="AX66" s="776"/>
      <c r="BQ66" s="870"/>
      <c r="BR66" s="870"/>
      <c r="BS66" s="870"/>
      <c r="BT66" s="870"/>
      <c r="BU66" s="871"/>
    </row>
    <row r="67" spans="1:73" ht="15.95" hidden="1" customHeight="1" x14ac:dyDescent="0.25">
      <c r="A67" s="800"/>
      <c r="B67" s="917">
        <v>109910</v>
      </c>
      <c r="C67" s="877">
        <f t="shared" si="15"/>
        <v>112610</v>
      </c>
      <c r="D67" s="882">
        <f t="shared" si="8"/>
        <v>115500</v>
      </c>
      <c r="E67" s="883">
        <v>115500</v>
      </c>
      <c r="F67" s="800"/>
      <c r="G67" s="776"/>
      <c r="H67" s="776"/>
      <c r="I67" s="800"/>
      <c r="J67" s="853"/>
      <c r="K67" s="939">
        <v>23</v>
      </c>
      <c r="L67" s="800"/>
      <c r="M67" s="776"/>
      <c r="N67" s="776"/>
      <c r="O67" s="776"/>
      <c r="P67" s="776"/>
      <c r="Q67" s="776"/>
      <c r="R67" s="776"/>
      <c r="S67" s="800"/>
      <c r="T67" s="853"/>
      <c r="U67" s="853"/>
      <c r="V67" s="853"/>
      <c r="W67" s="853"/>
      <c r="X67" s="853"/>
      <c r="Y67" s="778"/>
      <c r="Z67" s="778"/>
      <c r="AA67" s="800"/>
      <c r="AB67" s="776"/>
      <c r="AC67" s="776"/>
      <c r="AD67" s="776"/>
      <c r="AE67" s="776"/>
      <c r="AF67" s="800"/>
      <c r="AG67" s="776"/>
      <c r="AH67" s="776"/>
      <c r="AI67" s="776"/>
      <c r="AJ67" s="800"/>
      <c r="AK67" s="776"/>
      <c r="AN67" s="800"/>
      <c r="AO67" s="776"/>
      <c r="AP67" s="776"/>
      <c r="AR67" s="776"/>
      <c r="AS67" s="776"/>
      <c r="AT67" s="776"/>
      <c r="AU67" s="776"/>
      <c r="AV67" s="776"/>
      <c r="AW67" s="800"/>
      <c r="AX67" s="776"/>
      <c r="BQ67" s="870"/>
      <c r="BR67" s="870"/>
      <c r="BS67" s="870"/>
      <c r="BT67" s="870"/>
      <c r="BU67" s="871"/>
    </row>
    <row r="68" spans="1:73" ht="15.95" hidden="1" customHeight="1" x14ac:dyDescent="0.25">
      <c r="A68" s="800"/>
      <c r="B68" s="917">
        <v>112610</v>
      </c>
      <c r="C68" s="877">
        <f t="shared" si="15"/>
        <v>115500</v>
      </c>
      <c r="D68" s="882">
        <f t="shared" si="15"/>
        <v>118390</v>
      </c>
      <c r="E68" s="883">
        <v>118390</v>
      </c>
      <c r="F68" s="800"/>
      <c r="G68" s="776"/>
      <c r="H68" s="776"/>
      <c r="I68" s="800"/>
      <c r="J68" s="853"/>
      <c r="K68" s="939">
        <v>24</v>
      </c>
      <c r="L68" s="800"/>
      <c r="M68" s="776"/>
      <c r="N68" s="776"/>
      <c r="O68" s="776"/>
      <c r="P68" s="776"/>
      <c r="Q68" s="776"/>
      <c r="R68" s="776"/>
      <c r="S68" s="800"/>
      <c r="T68" s="853"/>
      <c r="U68" s="853"/>
      <c r="V68" s="853"/>
      <c r="W68" s="853"/>
      <c r="X68" s="853"/>
      <c r="Y68" s="778"/>
      <c r="Z68" s="778"/>
      <c r="AA68" s="800"/>
      <c r="AB68" s="776"/>
      <c r="AC68" s="776"/>
      <c r="AD68" s="776"/>
      <c r="AE68" s="776"/>
      <c r="AF68" s="800"/>
      <c r="AG68" s="776"/>
      <c r="AH68" s="776"/>
      <c r="AI68" s="776"/>
      <c r="AJ68" s="800"/>
      <c r="AK68" s="776"/>
      <c r="AN68" s="800"/>
      <c r="AO68" s="776"/>
      <c r="AP68" s="776"/>
      <c r="AR68" s="776"/>
      <c r="AS68" s="776"/>
      <c r="AT68" s="776"/>
      <c r="AU68" s="776"/>
      <c r="AV68" s="776"/>
      <c r="AW68" s="800"/>
      <c r="AX68" s="776"/>
      <c r="BQ68" s="870"/>
      <c r="BR68" s="870"/>
      <c r="BS68" s="870"/>
      <c r="BT68" s="870"/>
      <c r="BU68" s="871"/>
    </row>
    <row r="69" spans="1:73" ht="15.95" hidden="1" customHeight="1" x14ac:dyDescent="0.25">
      <c r="A69" s="800"/>
      <c r="B69" s="917">
        <v>115500</v>
      </c>
      <c r="C69" s="877">
        <f t="shared" ref="C69:D84" si="71">B70</f>
        <v>118390</v>
      </c>
      <c r="D69" s="882">
        <f t="shared" si="71"/>
        <v>121280</v>
      </c>
      <c r="E69" s="883">
        <v>121280</v>
      </c>
      <c r="F69" s="800"/>
      <c r="G69" s="776"/>
      <c r="H69" s="776"/>
      <c r="I69" s="800"/>
      <c r="J69" s="853"/>
      <c r="K69" s="939">
        <v>25</v>
      </c>
      <c r="L69" s="800"/>
      <c r="M69" s="776"/>
      <c r="N69" s="776"/>
      <c r="O69" s="776"/>
      <c r="P69" s="776"/>
      <c r="Q69" s="776"/>
      <c r="R69" s="776"/>
      <c r="S69" s="800"/>
      <c r="T69" s="853"/>
      <c r="U69" s="853"/>
      <c r="V69" s="853"/>
      <c r="W69" s="853"/>
      <c r="X69" s="853"/>
      <c r="Y69" s="778"/>
      <c r="Z69" s="778"/>
      <c r="AA69" s="800"/>
      <c r="AB69" s="776"/>
      <c r="AC69" s="776"/>
      <c r="AD69" s="776"/>
      <c r="AE69" s="776"/>
      <c r="AF69" s="800"/>
      <c r="AG69" s="776"/>
      <c r="AH69" s="776"/>
      <c r="AI69" s="776"/>
      <c r="AJ69" s="800"/>
      <c r="AK69" s="776"/>
      <c r="AN69" s="800"/>
      <c r="AO69" s="776"/>
      <c r="AP69" s="776"/>
      <c r="AR69" s="776"/>
      <c r="AS69" s="776"/>
      <c r="AT69" s="776"/>
      <c r="AU69" s="776"/>
      <c r="AV69" s="776"/>
      <c r="AW69" s="800"/>
      <c r="AX69" s="776"/>
      <c r="BQ69" s="870"/>
      <c r="BR69" s="870"/>
      <c r="BS69" s="870"/>
      <c r="BT69" s="870"/>
      <c r="BU69" s="871"/>
    </row>
    <row r="70" spans="1:73" ht="15.95" hidden="1" customHeight="1" x14ac:dyDescent="0.25">
      <c r="A70" s="800"/>
      <c r="B70" s="917">
        <v>118390</v>
      </c>
      <c r="C70" s="877">
        <f t="shared" si="71"/>
        <v>121280</v>
      </c>
      <c r="D70" s="882">
        <f t="shared" si="71"/>
        <v>124380</v>
      </c>
      <c r="E70" s="883">
        <v>124380</v>
      </c>
      <c r="F70" s="800"/>
      <c r="G70" s="776"/>
      <c r="H70" s="776"/>
      <c r="I70" s="800"/>
      <c r="J70" s="853"/>
      <c r="K70" s="939">
        <v>26</v>
      </c>
      <c r="L70" s="800"/>
      <c r="M70" s="776"/>
      <c r="N70" s="776"/>
      <c r="O70" s="776"/>
      <c r="P70" s="776"/>
      <c r="Q70" s="776"/>
      <c r="R70" s="776"/>
      <c r="S70" s="800"/>
      <c r="T70" s="853"/>
      <c r="U70" s="853"/>
      <c r="V70" s="853"/>
      <c r="W70" s="853"/>
      <c r="X70" s="853"/>
      <c r="Y70" s="778"/>
      <c r="Z70" s="778"/>
      <c r="AA70" s="800"/>
      <c r="AB70" s="776"/>
      <c r="AC70" s="776"/>
      <c r="AD70" s="776"/>
      <c r="AE70" s="776"/>
      <c r="AF70" s="800"/>
      <c r="AG70" s="776"/>
      <c r="AH70" s="776"/>
      <c r="AI70" s="776"/>
      <c r="AJ70" s="800"/>
      <c r="AK70" s="776"/>
      <c r="AN70" s="800"/>
      <c r="AO70" s="776"/>
      <c r="AP70" s="776"/>
      <c r="AR70" s="776"/>
      <c r="AS70" s="776"/>
      <c r="AT70" s="776"/>
      <c r="AU70" s="776"/>
      <c r="AV70" s="776"/>
      <c r="AW70" s="800"/>
      <c r="AX70" s="776"/>
      <c r="BQ70" s="870"/>
      <c r="BR70" s="870"/>
      <c r="BS70" s="870"/>
      <c r="BT70" s="870"/>
      <c r="BU70" s="871"/>
    </row>
    <row r="71" spans="1:73" ht="15.95" hidden="1" customHeight="1" x14ac:dyDescent="0.25">
      <c r="A71" s="800"/>
      <c r="B71" s="917">
        <v>121280</v>
      </c>
      <c r="C71" s="877">
        <f t="shared" si="71"/>
        <v>124380</v>
      </c>
      <c r="D71" s="882">
        <f t="shared" si="71"/>
        <v>127480</v>
      </c>
      <c r="E71" s="883">
        <v>127480</v>
      </c>
      <c r="F71" s="800"/>
      <c r="G71" s="776"/>
      <c r="H71" s="776"/>
      <c r="I71" s="800"/>
      <c r="J71" s="853"/>
      <c r="K71" s="939">
        <v>27</v>
      </c>
      <c r="L71" s="800"/>
      <c r="M71" s="776"/>
      <c r="N71" s="776"/>
      <c r="O71" s="776"/>
      <c r="P71" s="776"/>
      <c r="Q71" s="776"/>
      <c r="R71" s="776"/>
      <c r="S71" s="800"/>
      <c r="T71" s="853"/>
      <c r="U71" s="853"/>
      <c r="V71" s="853"/>
      <c r="W71" s="853"/>
      <c r="X71" s="853"/>
      <c r="Y71" s="778"/>
      <c r="Z71" s="778"/>
      <c r="AA71" s="800"/>
      <c r="AB71" s="776"/>
      <c r="AC71" s="776"/>
      <c r="AD71" s="776"/>
      <c r="AE71" s="776"/>
      <c r="AF71" s="800"/>
      <c r="AG71" s="776"/>
      <c r="AH71" s="776"/>
      <c r="AI71" s="776"/>
      <c r="AJ71" s="800"/>
      <c r="AK71" s="776"/>
      <c r="AN71" s="800"/>
      <c r="AO71" s="776"/>
      <c r="AP71" s="776"/>
      <c r="AR71" s="776"/>
      <c r="AS71" s="776"/>
      <c r="AT71" s="776"/>
      <c r="AU71" s="776"/>
      <c r="AV71" s="776"/>
      <c r="AW71" s="800"/>
      <c r="AX71" s="776"/>
      <c r="BQ71" s="870"/>
      <c r="BR71" s="870"/>
      <c r="BS71" s="870"/>
      <c r="BT71" s="870"/>
      <c r="BU71" s="871"/>
    </row>
    <row r="72" spans="1:73" ht="15.95" hidden="1" customHeight="1" x14ac:dyDescent="0.25">
      <c r="A72" s="800"/>
      <c r="B72" s="917">
        <v>124380</v>
      </c>
      <c r="C72" s="877">
        <f t="shared" si="71"/>
        <v>127480</v>
      </c>
      <c r="D72" s="882">
        <f t="shared" si="71"/>
        <v>130580</v>
      </c>
      <c r="E72" s="883">
        <v>130580</v>
      </c>
      <c r="F72" s="800"/>
      <c r="G72" s="776"/>
      <c r="H72" s="776"/>
      <c r="I72" s="800"/>
      <c r="J72" s="853"/>
      <c r="K72" s="939">
        <v>28</v>
      </c>
      <c r="L72" s="800"/>
      <c r="M72" s="776"/>
      <c r="N72" s="776"/>
      <c r="O72" s="776"/>
      <c r="P72" s="776"/>
      <c r="Q72" s="776"/>
      <c r="R72" s="776"/>
      <c r="S72" s="800"/>
      <c r="T72" s="853"/>
      <c r="U72" s="853"/>
      <c r="V72" s="853"/>
      <c r="W72" s="853"/>
      <c r="X72" s="853"/>
      <c r="Y72" s="778"/>
      <c r="Z72" s="778"/>
      <c r="AA72" s="800"/>
      <c r="AB72" s="776"/>
      <c r="AC72" s="776"/>
      <c r="AD72" s="776"/>
      <c r="AE72" s="776"/>
      <c r="AF72" s="800"/>
      <c r="AG72" s="776"/>
      <c r="AH72" s="776"/>
      <c r="AI72" s="776"/>
      <c r="AJ72" s="800"/>
      <c r="AK72" s="776"/>
      <c r="AN72" s="800"/>
      <c r="AO72" s="776"/>
      <c r="AP72" s="776"/>
      <c r="AR72" s="776"/>
      <c r="AS72" s="776"/>
      <c r="AT72" s="776"/>
      <c r="AU72" s="776"/>
      <c r="AV72" s="776"/>
      <c r="AW72" s="800"/>
      <c r="AX72" s="776"/>
      <c r="BQ72" s="870"/>
      <c r="BR72" s="870"/>
      <c r="BS72" s="870"/>
      <c r="BT72" s="870"/>
      <c r="BU72" s="871"/>
    </row>
    <row r="73" spans="1:73" ht="15.95" hidden="1" customHeight="1" x14ac:dyDescent="0.25">
      <c r="A73" s="800"/>
      <c r="B73" s="917">
        <v>127480</v>
      </c>
      <c r="C73" s="877">
        <f t="shared" si="71"/>
        <v>130580</v>
      </c>
      <c r="D73" s="882">
        <f t="shared" si="71"/>
        <v>133900</v>
      </c>
      <c r="E73" s="883">
        <v>133900</v>
      </c>
      <c r="F73" s="800"/>
      <c r="G73" s="776"/>
      <c r="H73" s="776"/>
      <c r="I73" s="800"/>
      <c r="J73" s="853"/>
      <c r="K73" s="939">
        <v>29</v>
      </c>
      <c r="L73" s="800"/>
      <c r="M73" s="776"/>
      <c r="N73" s="776"/>
      <c r="O73" s="776"/>
      <c r="P73" s="776"/>
      <c r="Q73" s="776"/>
      <c r="R73" s="776"/>
      <c r="S73" s="800"/>
      <c r="T73" s="853"/>
      <c r="U73" s="853"/>
      <c r="V73" s="853"/>
      <c r="W73" s="853"/>
      <c r="X73" s="853"/>
      <c r="Y73" s="778"/>
      <c r="Z73" s="778"/>
      <c r="AA73" s="800"/>
      <c r="AB73" s="776"/>
      <c r="AC73" s="776"/>
      <c r="AD73" s="776"/>
      <c r="AE73" s="776"/>
      <c r="AF73" s="800"/>
      <c r="AG73" s="776"/>
      <c r="AH73" s="776"/>
      <c r="AI73" s="776"/>
      <c r="AJ73" s="800"/>
      <c r="AK73" s="776"/>
      <c r="AN73" s="800"/>
      <c r="AO73" s="776"/>
      <c r="AP73" s="776"/>
      <c r="AR73" s="776"/>
      <c r="AS73" s="776"/>
      <c r="AT73" s="776"/>
      <c r="AU73" s="776"/>
      <c r="AV73" s="776"/>
      <c r="AW73" s="800"/>
      <c r="AX73" s="776"/>
      <c r="BQ73" s="870"/>
      <c r="BR73" s="870"/>
      <c r="BS73" s="870"/>
      <c r="BT73" s="870"/>
      <c r="BU73" s="871"/>
    </row>
    <row r="74" spans="1:73" ht="15.95" hidden="1" customHeight="1" x14ac:dyDescent="0.25">
      <c r="A74" s="800"/>
      <c r="B74" s="917">
        <v>130580</v>
      </c>
      <c r="C74" s="877">
        <f t="shared" si="71"/>
        <v>133900</v>
      </c>
      <c r="D74" s="882">
        <f t="shared" si="71"/>
        <v>137220</v>
      </c>
      <c r="E74" s="883">
        <v>137220</v>
      </c>
      <c r="F74" s="800"/>
      <c r="G74" s="776"/>
      <c r="H74" s="776"/>
      <c r="I74" s="800"/>
      <c r="J74" s="853"/>
      <c r="K74" s="939">
        <v>30</v>
      </c>
      <c r="L74" s="800"/>
      <c r="M74" s="776"/>
      <c r="N74" s="776"/>
      <c r="O74" s="776"/>
      <c r="P74" s="776"/>
      <c r="Q74" s="776"/>
      <c r="R74" s="776"/>
      <c r="S74" s="800"/>
      <c r="T74" s="853"/>
      <c r="U74" s="853"/>
      <c r="V74" s="853"/>
      <c r="W74" s="853"/>
      <c r="X74" s="853"/>
      <c r="Y74" s="778"/>
      <c r="Z74" s="778"/>
      <c r="AA74" s="800"/>
      <c r="AB74" s="776"/>
      <c r="AC74" s="776"/>
      <c r="AD74" s="776"/>
      <c r="AE74" s="776"/>
      <c r="AF74" s="800"/>
      <c r="AG74" s="776"/>
      <c r="AH74" s="776"/>
      <c r="AI74" s="776"/>
      <c r="AJ74" s="800"/>
      <c r="AK74" s="776"/>
      <c r="AN74" s="800"/>
      <c r="AO74" s="776"/>
      <c r="AP74" s="776"/>
      <c r="AR74" s="776"/>
      <c r="AS74" s="776"/>
      <c r="AT74" s="776"/>
      <c r="AU74" s="776"/>
      <c r="AV74" s="776"/>
      <c r="AW74" s="800"/>
      <c r="AX74" s="776"/>
      <c r="BQ74" s="870"/>
      <c r="BR74" s="870"/>
      <c r="BS74" s="870"/>
      <c r="BT74" s="870"/>
      <c r="BU74" s="871"/>
    </row>
    <row r="75" spans="1:73" ht="15.95" hidden="1" customHeight="1" x14ac:dyDescent="0.25">
      <c r="A75" s="800"/>
      <c r="B75" s="879">
        <v>133900</v>
      </c>
      <c r="C75" s="877">
        <f t="shared" si="71"/>
        <v>137220</v>
      </c>
      <c r="D75" s="882">
        <f t="shared" si="71"/>
        <v>140540</v>
      </c>
      <c r="E75" s="883">
        <v>140540</v>
      </c>
      <c r="F75" s="800"/>
      <c r="G75" s="776"/>
      <c r="H75" s="776"/>
      <c r="I75" s="800"/>
      <c r="J75" s="853"/>
      <c r="K75" s="939">
        <v>31</v>
      </c>
      <c r="L75" s="800"/>
      <c r="M75" s="776"/>
      <c r="N75" s="776"/>
      <c r="O75" s="776"/>
      <c r="P75" s="776"/>
      <c r="Q75" s="776"/>
      <c r="R75" s="776"/>
      <c r="S75" s="800"/>
      <c r="T75" s="853"/>
      <c r="U75" s="853"/>
      <c r="V75" s="853"/>
      <c r="W75" s="853"/>
      <c r="X75" s="853"/>
      <c r="Y75" s="778"/>
      <c r="Z75" s="778"/>
      <c r="AA75" s="800"/>
      <c r="AB75" s="776"/>
      <c r="AC75" s="776"/>
      <c r="AD75" s="776"/>
      <c r="AE75" s="776"/>
      <c r="AF75" s="800"/>
      <c r="AG75" s="776"/>
      <c r="AH75" s="776"/>
      <c r="AI75" s="776"/>
      <c r="AJ75" s="800"/>
      <c r="AK75" s="776"/>
      <c r="AN75" s="800"/>
      <c r="AO75" s="776"/>
      <c r="AP75" s="776"/>
      <c r="AR75" s="776"/>
      <c r="AS75" s="776"/>
      <c r="AT75" s="776"/>
      <c r="AU75" s="776"/>
      <c r="AV75" s="776"/>
      <c r="AW75" s="800"/>
      <c r="AX75" s="776"/>
      <c r="BQ75" s="870"/>
      <c r="BR75" s="870"/>
      <c r="BS75" s="870"/>
      <c r="BT75" s="870"/>
      <c r="BU75" s="871"/>
    </row>
    <row r="76" spans="1:73" ht="15.95" hidden="1" customHeight="1" x14ac:dyDescent="0.25">
      <c r="A76" s="800"/>
      <c r="B76" s="879">
        <v>137220</v>
      </c>
      <c r="C76" s="877">
        <f t="shared" si="71"/>
        <v>140540</v>
      </c>
      <c r="D76" s="882">
        <f t="shared" si="71"/>
        <v>144150</v>
      </c>
      <c r="E76" s="883">
        <v>144150</v>
      </c>
      <c r="F76" s="800"/>
      <c r="G76" s="776"/>
      <c r="H76" s="776"/>
      <c r="I76" s="800"/>
      <c r="J76" s="853"/>
      <c r="K76" s="864" t="s">
        <v>25</v>
      </c>
      <c r="L76" s="800"/>
      <c r="M76" s="776"/>
      <c r="N76" s="776"/>
      <c r="O76" s="776"/>
      <c r="P76" s="776"/>
      <c r="Q76" s="776"/>
      <c r="R76" s="776"/>
      <c r="S76" s="800"/>
      <c r="T76" s="853"/>
      <c r="U76" s="853"/>
      <c r="V76" s="853"/>
      <c r="W76" s="853"/>
      <c r="X76" s="853"/>
      <c r="Y76" s="778"/>
      <c r="Z76" s="778"/>
      <c r="AA76" s="800"/>
      <c r="AB76" s="776"/>
      <c r="AC76" s="776"/>
      <c r="AD76" s="776"/>
      <c r="AE76" s="776"/>
      <c r="AF76" s="800"/>
      <c r="AG76" s="776"/>
      <c r="AH76" s="776"/>
      <c r="AI76" s="776"/>
      <c r="AJ76" s="800"/>
      <c r="AK76" s="776"/>
      <c r="AN76" s="800"/>
      <c r="AO76" s="776"/>
      <c r="AP76" s="776"/>
      <c r="AR76" s="776"/>
      <c r="AS76" s="776"/>
      <c r="AT76" s="776"/>
      <c r="AU76" s="776"/>
      <c r="AV76" s="776"/>
      <c r="AW76" s="800"/>
      <c r="AX76" s="776"/>
      <c r="BQ76" s="870"/>
      <c r="BR76" s="870"/>
      <c r="BS76" s="870"/>
      <c r="BT76" s="870"/>
      <c r="BU76" s="871"/>
    </row>
    <row r="77" spans="1:73" ht="15.95" hidden="1" customHeight="1" x14ac:dyDescent="0.25">
      <c r="A77" s="800"/>
      <c r="B77" s="879">
        <v>140540</v>
      </c>
      <c r="C77" s="877">
        <f t="shared" si="71"/>
        <v>144150</v>
      </c>
      <c r="D77" s="882">
        <f t="shared" si="71"/>
        <v>147760</v>
      </c>
      <c r="E77" s="883">
        <v>147760</v>
      </c>
      <c r="F77" s="800"/>
      <c r="G77" s="776"/>
      <c r="H77" s="776"/>
      <c r="I77" s="800"/>
      <c r="J77" s="853"/>
      <c r="K77" s="853"/>
      <c r="L77" s="800"/>
      <c r="M77" s="776"/>
      <c r="N77" s="776"/>
      <c r="O77" s="776"/>
      <c r="P77" s="776"/>
      <c r="Q77" s="776"/>
      <c r="R77" s="776"/>
      <c r="S77" s="800"/>
      <c r="T77" s="853"/>
      <c r="U77" s="853"/>
      <c r="V77" s="853"/>
      <c r="W77" s="853"/>
      <c r="X77" s="853"/>
      <c r="Y77" s="778"/>
      <c r="Z77" s="778"/>
      <c r="AA77" s="800"/>
      <c r="AB77" s="776"/>
      <c r="AC77" s="776"/>
      <c r="AD77" s="776"/>
      <c r="AE77" s="776"/>
      <c r="AF77" s="800"/>
      <c r="AG77" s="776"/>
      <c r="AH77" s="776"/>
      <c r="AI77" s="776"/>
      <c r="AJ77" s="800"/>
      <c r="AK77" s="776"/>
      <c r="AN77" s="800"/>
      <c r="AO77" s="776"/>
      <c r="AP77" s="776"/>
      <c r="AR77" s="776"/>
      <c r="AS77" s="776"/>
      <c r="AT77" s="776"/>
      <c r="AU77" s="776"/>
      <c r="AV77" s="776"/>
      <c r="AW77" s="800"/>
      <c r="AX77" s="776"/>
      <c r="BQ77" s="870"/>
      <c r="BR77" s="870"/>
      <c r="BS77" s="870"/>
      <c r="BT77" s="870"/>
      <c r="BU77" s="871"/>
    </row>
    <row r="78" spans="1:73" ht="15.95" hidden="1" customHeight="1" x14ac:dyDescent="0.25">
      <c r="A78" s="800"/>
      <c r="B78" s="879">
        <v>144150</v>
      </c>
      <c r="C78" s="877">
        <f t="shared" si="71"/>
        <v>147760</v>
      </c>
      <c r="D78" s="882">
        <f t="shared" si="71"/>
        <v>151370</v>
      </c>
      <c r="E78" s="883">
        <v>151370</v>
      </c>
      <c r="F78" s="800"/>
      <c r="G78" s="776"/>
      <c r="H78" s="776"/>
      <c r="I78" s="800"/>
      <c r="J78" s="853"/>
      <c r="K78" s="853"/>
      <c r="L78" s="800"/>
      <c r="M78" s="776"/>
      <c r="N78" s="776"/>
      <c r="O78" s="776"/>
      <c r="P78" s="776"/>
      <c r="Q78" s="776"/>
      <c r="R78" s="776"/>
      <c r="S78" s="800"/>
      <c r="T78" s="853"/>
      <c r="U78" s="853"/>
      <c r="V78" s="853"/>
      <c r="W78" s="853"/>
      <c r="X78" s="853"/>
      <c r="Y78" s="778"/>
      <c r="Z78" s="778"/>
      <c r="AA78" s="800"/>
      <c r="AB78" s="776"/>
      <c r="AC78" s="776"/>
      <c r="AD78" s="776"/>
      <c r="AE78" s="776"/>
      <c r="AF78" s="800"/>
      <c r="AG78" s="776"/>
      <c r="AH78" s="776"/>
      <c r="AI78" s="776"/>
      <c r="AJ78" s="800"/>
      <c r="AK78" s="776"/>
      <c r="AN78" s="800"/>
      <c r="AO78" s="776"/>
      <c r="AP78" s="776"/>
      <c r="AR78" s="776"/>
      <c r="AS78" s="776"/>
      <c r="AT78" s="776"/>
      <c r="AU78" s="776"/>
      <c r="AV78" s="776"/>
      <c r="AW78" s="800"/>
      <c r="AX78" s="776"/>
      <c r="BQ78" s="870"/>
      <c r="BR78" s="870"/>
      <c r="BS78" s="870"/>
      <c r="BT78" s="870"/>
      <c r="BU78" s="871"/>
    </row>
    <row r="79" spans="1:73" ht="15.95" hidden="1" customHeight="1" x14ac:dyDescent="0.25">
      <c r="A79" s="800"/>
      <c r="B79" s="879">
        <v>147760</v>
      </c>
      <c r="C79" s="877">
        <f t="shared" si="71"/>
        <v>151370</v>
      </c>
      <c r="D79" s="882">
        <f t="shared" si="71"/>
        <v>154980</v>
      </c>
      <c r="E79" s="883">
        <v>154980</v>
      </c>
      <c r="F79" s="800"/>
      <c r="G79" s="776"/>
      <c r="H79" s="776"/>
      <c r="I79" s="800"/>
      <c r="J79" s="853"/>
      <c r="K79" s="853"/>
      <c r="L79" s="800"/>
      <c r="M79" s="776"/>
      <c r="N79" s="776"/>
      <c r="O79" s="776"/>
      <c r="P79" s="776"/>
      <c r="Q79" s="776"/>
      <c r="R79" s="776"/>
      <c r="S79" s="800"/>
      <c r="T79" s="853"/>
      <c r="U79" s="853"/>
      <c r="V79" s="853"/>
      <c r="W79" s="853"/>
      <c r="X79" s="853"/>
      <c r="Y79" s="778"/>
      <c r="Z79" s="778"/>
      <c r="AA79" s="800"/>
      <c r="AB79" s="776"/>
      <c r="AC79" s="776"/>
      <c r="AD79" s="776"/>
      <c r="AE79" s="776"/>
      <c r="AF79" s="800"/>
      <c r="AG79" s="776"/>
      <c r="AH79" s="776"/>
      <c r="AI79" s="776"/>
      <c r="AJ79" s="800"/>
      <c r="AK79" s="776"/>
      <c r="AN79" s="800"/>
      <c r="AO79" s="776"/>
      <c r="AP79" s="776"/>
      <c r="AR79" s="776"/>
      <c r="AS79" s="776"/>
      <c r="AT79" s="776"/>
      <c r="AU79" s="776"/>
      <c r="AV79" s="776"/>
      <c r="AW79" s="800"/>
      <c r="AX79" s="776"/>
      <c r="BQ79" s="870"/>
      <c r="BR79" s="870"/>
      <c r="BS79" s="870"/>
      <c r="BT79" s="870"/>
      <c r="BU79" s="871"/>
    </row>
    <row r="80" spans="1:73" ht="15.95" hidden="1" customHeight="1" x14ac:dyDescent="0.25">
      <c r="A80" s="800"/>
      <c r="B80" s="879">
        <v>151370</v>
      </c>
      <c r="C80" s="877">
        <f t="shared" si="71"/>
        <v>154980</v>
      </c>
      <c r="D80" s="882">
        <f t="shared" si="71"/>
        <v>158880</v>
      </c>
      <c r="E80" s="883">
        <v>158880</v>
      </c>
      <c r="F80" s="800"/>
      <c r="G80" s="776"/>
      <c r="H80" s="776"/>
      <c r="I80" s="800"/>
      <c r="J80" s="853"/>
      <c r="K80" s="853"/>
      <c r="L80" s="800"/>
      <c r="M80" s="776"/>
      <c r="N80" s="776"/>
      <c r="O80" s="776"/>
      <c r="P80" s="776"/>
      <c r="Q80" s="776"/>
      <c r="R80" s="776"/>
      <c r="S80" s="800"/>
      <c r="T80" s="853"/>
      <c r="U80" s="853"/>
      <c r="V80" s="853"/>
      <c r="W80" s="853"/>
      <c r="X80" s="853"/>
      <c r="Y80" s="778"/>
      <c r="Z80" s="778"/>
      <c r="AA80" s="800"/>
      <c r="AB80" s="776"/>
      <c r="AC80" s="776"/>
      <c r="AD80" s="776"/>
      <c r="AE80" s="776"/>
      <c r="AF80" s="800"/>
      <c r="AG80" s="776"/>
      <c r="AH80" s="776"/>
      <c r="AI80" s="776"/>
      <c r="AJ80" s="800"/>
      <c r="AK80" s="776"/>
      <c r="AN80" s="800"/>
      <c r="AO80" s="776"/>
      <c r="AP80" s="776"/>
      <c r="AR80" s="776"/>
      <c r="AS80" s="776"/>
      <c r="AT80" s="776"/>
      <c r="AU80" s="776"/>
      <c r="AV80" s="776"/>
      <c r="AW80" s="800"/>
      <c r="AX80" s="776"/>
      <c r="BQ80" s="870"/>
      <c r="BR80" s="870"/>
      <c r="BS80" s="870"/>
      <c r="BT80" s="870"/>
      <c r="BU80" s="871"/>
    </row>
    <row r="81" spans="1:73" ht="15.95" hidden="1" customHeight="1" x14ac:dyDescent="0.25">
      <c r="A81" s="800"/>
      <c r="B81" s="879">
        <v>154980</v>
      </c>
      <c r="C81" s="877">
        <f t="shared" si="71"/>
        <v>158880</v>
      </c>
      <c r="D81" s="882">
        <f t="shared" si="71"/>
        <v>162780</v>
      </c>
      <c r="E81" s="883">
        <v>162780</v>
      </c>
      <c r="F81" s="800"/>
      <c r="G81" s="776"/>
      <c r="H81" s="776"/>
      <c r="I81" s="800"/>
      <c r="J81" s="853"/>
      <c r="K81" s="853"/>
      <c r="L81" s="800"/>
      <c r="M81" s="776"/>
      <c r="N81" s="776"/>
      <c r="O81" s="776"/>
      <c r="P81" s="776"/>
      <c r="Q81" s="776"/>
      <c r="R81" s="776"/>
      <c r="S81" s="800"/>
      <c r="T81" s="853"/>
      <c r="U81" s="853"/>
      <c r="V81" s="853"/>
      <c r="W81" s="853"/>
      <c r="X81" s="853"/>
      <c r="Y81" s="778"/>
      <c r="Z81" s="778"/>
      <c r="AA81" s="800"/>
      <c r="AB81" s="776"/>
      <c r="AC81" s="776"/>
      <c r="AD81" s="776"/>
      <c r="AE81" s="776"/>
      <c r="AF81" s="800"/>
      <c r="AG81" s="776"/>
      <c r="AH81" s="776"/>
      <c r="AI81" s="776"/>
      <c r="AJ81" s="800"/>
      <c r="AK81" s="776"/>
      <c r="AN81" s="800"/>
      <c r="AO81" s="776"/>
      <c r="AP81" s="776"/>
      <c r="AR81" s="776"/>
      <c r="AS81" s="776"/>
      <c r="AT81" s="776"/>
      <c r="AU81" s="776"/>
      <c r="AV81" s="776"/>
      <c r="AW81" s="800"/>
      <c r="AX81" s="776"/>
      <c r="BQ81" s="870"/>
      <c r="BR81" s="870"/>
      <c r="BS81" s="870"/>
      <c r="BT81" s="870"/>
      <c r="BU81" s="871"/>
    </row>
    <row r="82" spans="1:73" ht="15.95" hidden="1" customHeight="1" x14ac:dyDescent="0.25">
      <c r="A82" s="800"/>
      <c r="B82" s="879">
        <v>158880</v>
      </c>
      <c r="C82" s="877">
        <f t="shared" si="71"/>
        <v>162780</v>
      </c>
      <c r="D82" s="882">
        <f t="shared" si="71"/>
        <v>166680</v>
      </c>
      <c r="E82" s="883">
        <v>166680</v>
      </c>
      <c r="F82" s="800"/>
      <c r="G82" s="776"/>
      <c r="H82" s="776"/>
      <c r="I82" s="800"/>
      <c r="J82" s="853"/>
      <c r="K82" s="853"/>
      <c r="L82" s="800"/>
      <c r="M82" s="776"/>
      <c r="N82" s="776"/>
      <c r="O82" s="776"/>
      <c r="P82" s="776"/>
      <c r="Q82" s="776"/>
      <c r="R82" s="776"/>
      <c r="S82" s="800"/>
      <c r="T82" s="853"/>
      <c r="U82" s="853"/>
      <c r="V82" s="853"/>
      <c r="W82" s="853"/>
      <c r="X82" s="853"/>
      <c r="Y82" s="778"/>
      <c r="Z82" s="778"/>
      <c r="AA82" s="800"/>
      <c r="AB82" s="776"/>
      <c r="AC82" s="776"/>
      <c r="AD82" s="776"/>
      <c r="AE82" s="776"/>
      <c r="AF82" s="800"/>
      <c r="AG82" s="776"/>
      <c r="AH82" s="776"/>
      <c r="AI82" s="776"/>
      <c r="AJ82" s="800"/>
      <c r="AK82" s="776"/>
      <c r="AN82" s="800"/>
      <c r="AO82" s="776"/>
      <c r="AP82" s="776"/>
      <c r="AR82" s="776"/>
      <c r="AS82" s="776"/>
      <c r="AT82" s="776"/>
      <c r="AU82" s="776"/>
      <c r="AV82" s="776"/>
      <c r="AW82" s="800"/>
      <c r="AX82" s="776"/>
      <c r="BQ82" s="870"/>
      <c r="BR82" s="870"/>
      <c r="BS82" s="870"/>
      <c r="BT82" s="870"/>
      <c r="BU82" s="871"/>
    </row>
    <row r="83" spans="1:73" ht="15.95" hidden="1" customHeight="1" x14ac:dyDescent="0.25">
      <c r="A83" s="800"/>
      <c r="B83" s="917">
        <v>162780</v>
      </c>
      <c r="C83" s="877">
        <f t="shared" si="71"/>
        <v>166680</v>
      </c>
      <c r="D83" s="882">
        <f t="shared" si="71"/>
        <v>170580</v>
      </c>
      <c r="E83" s="883">
        <v>170580</v>
      </c>
      <c r="F83" s="800"/>
      <c r="G83" s="776"/>
      <c r="H83" s="776"/>
      <c r="I83" s="800"/>
      <c r="J83" s="853"/>
      <c r="K83" s="853"/>
      <c r="L83" s="800"/>
      <c r="M83" s="776"/>
      <c r="N83" s="776"/>
      <c r="O83" s="776"/>
      <c r="P83" s="776"/>
      <c r="Q83" s="776"/>
      <c r="R83" s="776"/>
      <c r="S83" s="800"/>
      <c r="T83" s="853"/>
      <c r="U83" s="853"/>
      <c r="V83" s="853"/>
      <c r="W83" s="853"/>
      <c r="X83" s="853"/>
      <c r="Y83" s="778"/>
      <c r="Z83" s="778"/>
      <c r="AA83" s="800"/>
      <c r="AB83" s="776"/>
      <c r="AC83" s="776"/>
      <c r="AD83" s="776"/>
      <c r="AE83" s="776"/>
      <c r="AF83" s="800"/>
      <c r="AG83" s="776"/>
      <c r="AH83" s="776"/>
      <c r="AI83" s="776"/>
      <c r="AJ83" s="800"/>
      <c r="AK83" s="776"/>
      <c r="AN83" s="800"/>
      <c r="AO83" s="776"/>
      <c r="AP83" s="776"/>
      <c r="AR83" s="776"/>
      <c r="AS83" s="776"/>
      <c r="AT83" s="776"/>
      <c r="AU83" s="776"/>
      <c r="AV83" s="776"/>
      <c r="AW83" s="800"/>
      <c r="AX83" s="776"/>
      <c r="BQ83" s="870"/>
      <c r="BR83" s="870"/>
      <c r="BS83" s="870"/>
      <c r="BT83" s="870"/>
      <c r="BU83" s="871"/>
    </row>
    <row r="84" spans="1:73" ht="15.95" hidden="1" customHeight="1" x14ac:dyDescent="0.25">
      <c r="A84" s="800"/>
      <c r="B84" s="942">
        <v>166680</v>
      </c>
      <c r="C84" s="943">
        <f t="shared" si="71"/>
        <v>170580</v>
      </c>
      <c r="D84" s="944"/>
      <c r="E84" s="945">
        <v>174790</v>
      </c>
      <c r="F84" s="800"/>
      <c r="G84" s="776"/>
      <c r="H84" s="776"/>
      <c r="I84" s="800"/>
      <c r="J84" s="853"/>
      <c r="K84" s="853"/>
      <c r="L84" s="800"/>
      <c r="M84" s="776"/>
      <c r="N84" s="776"/>
      <c r="O84" s="776"/>
      <c r="P84" s="776"/>
      <c r="Q84" s="776"/>
      <c r="R84" s="776"/>
      <c r="S84" s="800"/>
      <c r="T84" s="853"/>
      <c r="U84" s="853"/>
      <c r="V84" s="853"/>
      <c r="W84" s="853"/>
      <c r="X84" s="853"/>
      <c r="Y84" s="778"/>
      <c r="Z84" s="778"/>
      <c r="AA84" s="800"/>
      <c r="AB84" s="776"/>
      <c r="AC84" s="776"/>
      <c r="AD84" s="776"/>
      <c r="AE84" s="776"/>
      <c r="AF84" s="800"/>
      <c r="AG84" s="776"/>
      <c r="AH84" s="776"/>
      <c r="AI84" s="776"/>
      <c r="AJ84" s="800"/>
      <c r="AK84" s="776"/>
      <c r="AN84" s="800"/>
      <c r="AO84" s="776"/>
      <c r="AP84" s="776"/>
      <c r="AR84" s="776"/>
      <c r="AS84" s="776"/>
      <c r="AT84" s="776"/>
      <c r="AU84" s="776"/>
      <c r="AV84" s="776"/>
      <c r="AW84" s="800"/>
      <c r="AX84" s="776"/>
      <c r="BQ84" s="870"/>
      <c r="BR84" s="870"/>
      <c r="BS84" s="870"/>
      <c r="BT84" s="870"/>
      <c r="BU84" s="871"/>
    </row>
    <row r="85" spans="1:73" ht="15.95" hidden="1" customHeight="1" x14ac:dyDescent="0.25">
      <c r="A85" s="800"/>
      <c r="B85" s="917">
        <v>170580</v>
      </c>
      <c r="C85" s="877"/>
      <c r="D85" s="917"/>
      <c r="E85" s="883">
        <v>179000</v>
      </c>
      <c r="F85" s="800"/>
      <c r="G85" s="776"/>
      <c r="H85" s="776"/>
      <c r="I85" s="800"/>
      <c r="J85" s="853"/>
      <c r="K85" s="853"/>
      <c r="L85" s="800"/>
      <c r="M85" s="776"/>
      <c r="N85" s="776"/>
      <c r="O85" s="776"/>
      <c r="P85" s="776"/>
      <c r="Q85" s="776"/>
      <c r="R85" s="776"/>
      <c r="S85" s="800"/>
      <c r="T85" s="853"/>
      <c r="U85" s="853"/>
      <c r="V85" s="853"/>
      <c r="W85" s="853"/>
      <c r="X85" s="853"/>
      <c r="Y85" s="778"/>
      <c r="Z85" s="778"/>
      <c r="AA85" s="800"/>
      <c r="AB85" s="776"/>
      <c r="AC85" s="853"/>
      <c r="AD85" s="853"/>
      <c r="AE85" s="853"/>
      <c r="AF85" s="800"/>
      <c r="AG85" s="853"/>
      <c r="AH85" s="853"/>
      <c r="AI85" s="853"/>
      <c r="AJ85" s="800"/>
      <c r="AK85" s="853"/>
      <c r="AL85" s="853"/>
      <c r="AM85" s="853"/>
      <c r="AN85" s="800"/>
      <c r="AO85" s="853"/>
      <c r="AP85" s="853"/>
      <c r="AQ85" s="853"/>
      <c r="AR85" s="853"/>
      <c r="AS85" s="853"/>
      <c r="AT85" s="853"/>
      <c r="AU85" s="853"/>
      <c r="AV85" s="853"/>
      <c r="AW85" s="800"/>
      <c r="AX85" s="776"/>
      <c r="BQ85" s="870"/>
      <c r="BR85" s="870"/>
      <c r="BS85" s="870"/>
      <c r="BT85" s="870"/>
      <c r="BU85" s="871"/>
    </row>
    <row r="86" spans="1:73" ht="15.95" hidden="1" customHeight="1" x14ac:dyDescent="0.25">
      <c r="A86" s="800"/>
      <c r="B86" s="946">
        <v>174790</v>
      </c>
      <c r="C86" s="877"/>
      <c r="D86" s="946"/>
      <c r="E86" s="946"/>
      <c r="F86" s="800"/>
      <c r="G86" s="776"/>
      <c r="H86" s="776"/>
      <c r="I86" s="800"/>
      <c r="J86" s="853"/>
      <c r="K86" s="853"/>
      <c r="L86" s="800"/>
      <c r="M86" s="776"/>
      <c r="N86" s="776"/>
      <c r="O86" s="776"/>
      <c r="P86" s="776"/>
      <c r="Q86" s="776"/>
      <c r="R86" s="776"/>
      <c r="S86" s="800"/>
      <c r="T86" s="853"/>
      <c r="U86" s="853"/>
      <c r="V86" s="853"/>
      <c r="W86" s="853"/>
      <c r="X86" s="853"/>
      <c r="Y86" s="778"/>
      <c r="Z86" s="778"/>
      <c r="AA86" s="800"/>
      <c r="AB86" s="776"/>
      <c r="AC86" s="776"/>
      <c r="AD86" s="776"/>
      <c r="AE86" s="776"/>
      <c r="AF86" s="800"/>
      <c r="AG86" s="776"/>
      <c r="AH86" s="776"/>
      <c r="AI86" s="776"/>
      <c r="AJ86" s="800"/>
      <c r="AK86" s="776"/>
      <c r="AN86" s="800"/>
      <c r="AO86" s="776"/>
      <c r="AP86" s="776"/>
      <c r="AR86" s="776"/>
      <c r="AS86" s="776"/>
      <c r="AT86" s="776"/>
      <c r="AU86" s="776"/>
      <c r="AV86" s="776"/>
      <c r="AW86" s="800"/>
      <c r="AX86" s="776"/>
      <c r="BQ86" s="870"/>
      <c r="BR86" s="870"/>
      <c r="BS86" s="870"/>
      <c r="BT86" s="870"/>
      <c r="BU86" s="871"/>
    </row>
    <row r="87" spans="1:73" ht="15.95" hidden="1" customHeight="1" thickBot="1" x14ac:dyDescent="0.3">
      <c r="A87" s="947"/>
      <c r="B87" s="948">
        <v>179000</v>
      </c>
      <c r="C87" s="949"/>
      <c r="D87" s="950"/>
      <c r="E87" s="950"/>
      <c r="F87" s="951"/>
      <c r="G87" s="952"/>
      <c r="H87" s="952"/>
      <c r="I87" s="951"/>
      <c r="J87" s="953"/>
      <c r="K87" s="953"/>
      <c r="L87" s="951"/>
      <c r="M87" s="952"/>
      <c r="N87" s="952"/>
      <c r="O87" s="952"/>
      <c r="P87" s="952"/>
      <c r="Q87" s="952"/>
      <c r="R87" s="952"/>
      <c r="S87" s="951"/>
      <c r="T87" s="953"/>
      <c r="U87" s="953"/>
      <c r="V87" s="953"/>
      <c r="W87" s="953"/>
      <c r="X87" s="953"/>
      <c r="Y87" s="954"/>
      <c r="Z87" s="954"/>
      <c r="AA87" s="951"/>
      <c r="AB87" s="952"/>
      <c r="AC87" s="952"/>
      <c r="AD87" s="952"/>
      <c r="AE87" s="952"/>
      <c r="AF87" s="951"/>
      <c r="AG87" s="952"/>
      <c r="AH87" s="952"/>
      <c r="AI87" s="952"/>
      <c r="AJ87" s="951"/>
      <c r="AK87" s="952"/>
      <c r="AL87" s="411"/>
      <c r="AM87" s="412"/>
      <c r="AN87" s="951"/>
      <c r="AO87" s="952"/>
      <c r="AP87" s="952"/>
      <c r="AQ87" s="411"/>
      <c r="AR87" s="952"/>
      <c r="AS87" s="952"/>
      <c r="AT87" s="952"/>
      <c r="AU87" s="952"/>
      <c r="AV87" s="952"/>
      <c r="AW87" s="951"/>
      <c r="AX87" s="952"/>
      <c r="AY87" s="413"/>
      <c r="AZ87" s="413"/>
      <c r="BA87" s="413"/>
      <c r="BB87" s="413"/>
      <c r="BC87" s="413"/>
      <c r="BD87" s="413"/>
      <c r="BE87" s="414"/>
      <c r="BF87" s="413"/>
      <c r="BG87" s="413"/>
      <c r="BH87" s="413"/>
      <c r="BI87" s="413"/>
      <c r="BJ87" s="413"/>
      <c r="BK87" s="414"/>
      <c r="BL87" s="413"/>
      <c r="BM87" s="413"/>
      <c r="BN87" s="413"/>
      <c r="BO87" s="413"/>
      <c r="BP87" s="413"/>
      <c r="BQ87" s="955"/>
      <c r="BR87" s="955"/>
      <c r="BS87" s="955"/>
      <c r="BT87" s="955"/>
      <c r="BU87" s="871"/>
    </row>
    <row r="88" spans="1:73" ht="15.95" hidden="1" customHeight="1" thickTop="1" x14ac:dyDescent="0.25">
      <c r="A88" s="800"/>
      <c r="B88" s="800"/>
      <c r="C88" s="873"/>
      <c r="D88" s="800"/>
      <c r="E88" s="800"/>
      <c r="F88" s="800"/>
      <c r="G88" s="800"/>
      <c r="H88" s="800"/>
      <c r="I88" s="800"/>
      <c r="J88" s="956"/>
      <c r="K88" s="956"/>
      <c r="L88" s="800"/>
      <c r="M88" s="800"/>
      <c r="N88" s="800"/>
      <c r="O88" s="800"/>
      <c r="P88" s="800"/>
      <c r="Q88" s="800"/>
      <c r="R88" s="800"/>
      <c r="S88" s="800"/>
      <c r="T88" s="956"/>
      <c r="U88" s="956"/>
      <c r="V88" s="956"/>
      <c r="W88" s="956"/>
      <c r="X88" s="956"/>
      <c r="Y88" s="957"/>
      <c r="Z88" s="957"/>
      <c r="AA88" s="800"/>
      <c r="AB88" s="800"/>
      <c r="AC88" s="800"/>
      <c r="AD88" s="800"/>
      <c r="AE88" s="800"/>
      <c r="AF88" s="800"/>
      <c r="AG88" s="800"/>
      <c r="AH88" s="800"/>
      <c r="AI88" s="800"/>
      <c r="AJ88" s="800"/>
      <c r="AK88" s="800"/>
      <c r="AL88" s="415"/>
      <c r="AM88" s="416"/>
      <c r="AN88" s="800"/>
      <c r="AO88" s="800"/>
      <c r="AP88" s="800"/>
      <c r="AQ88" s="415"/>
      <c r="AR88" s="800"/>
      <c r="AS88" s="800"/>
      <c r="AT88" s="800"/>
      <c r="AU88" s="800"/>
      <c r="AV88" s="800"/>
      <c r="AW88" s="800"/>
      <c r="AX88" s="800"/>
      <c r="AY88" s="417"/>
      <c r="AZ88" s="417"/>
      <c r="BA88" s="417"/>
      <c r="BB88" s="417"/>
      <c r="BC88" s="417"/>
      <c r="BD88" s="417"/>
      <c r="BE88" s="418"/>
      <c r="BF88" s="417"/>
      <c r="BG88" s="417"/>
      <c r="BH88" s="417"/>
      <c r="BI88" s="417"/>
      <c r="BJ88" s="417"/>
      <c r="BK88" s="418"/>
      <c r="BL88" s="417"/>
      <c r="BM88" s="417"/>
      <c r="BN88" s="417"/>
      <c r="BO88" s="417"/>
      <c r="BP88" s="417"/>
      <c r="BQ88" s="871"/>
      <c r="BR88" s="871"/>
      <c r="BS88" s="871"/>
      <c r="BT88" s="871"/>
      <c r="BU88" s="871"/>
    </row>
    <row r="89" spans="1:73" ht="15.95" hidden="1" customHeight="1" x14ac:dyDescent="0.25">
      <c r="A89" s="776"/>
      <c r="B89" s="776"/>
      <c r="C89" s="864"/>
      <c r="D89" s="776"/>
      <c r="E89" s="776"/>
      <c r="F89" s="776"/>
      <c r="G89" s="776"/>
      <c r="H89" s="776"/>
      <c r="I89" s="776"/>
      <c r="J89" s="853"/>
      <c r="K89" s="853"/>
      <c r="L89" s="776"/>
      <c r="M89" s="776"/>
      <c r="N89" s="776"/>
      <c r="O89" s="776"/>
      <c r="P89" s="776"/>
      <c r="Q89" s="776"/>
      <c r="R89" s="776"/>
      <c r="S89" s="776"/>
      <c r="T89" s="853"/>
      <c r="U89" s="853"/>
      <c r="V89" s="853"/>
      <c r="W89" s="853"/>
      <c r="X89" s="853"/>
      <c r="Y89" s="778"/>
      <c r="Z89" s="778"/>
      <c r="AA89" s="776"/>
      <c r="AB89" s="776"/>
      <c r="AC89" s="776"/>
      <c r="AD89" s="776"/>
      <c r="AE89" s="776"/>
      <c r="AF89" s="776"/>
      <c r="AG89" s="776"/>
      <c r="AH89" s="776"/>
      <c r="AI89" s="776"/>
      <c r="AJ89" s="776"/>
      <c r="AK89" s="776"/>
      <c r="AN89" s="776"/>
      <c r="AO89" s="776"/>
      <c r="AP89" s="776"/>
      <c r="AR89" s="776"/>
      <c r="AS89" s="776"/>
      <c r="AT89" s="776"/>
      <c r="AU89" s="776"/>
      <c r="AV89" s="776"/>
      <c r="AW89" s="776"/>
      <c r="AX89" s="776"/>
      <c r="BQ89" s="870"/>
      <c r="BR89" s="870"/>
      <c r="BS89" s="870"/>
      <c r="BT89" s="870"/>
      <c r="BU89" s="870"/>
    </row>
    <row r="90" spans="1:73" ht="15.95" hidden="1" customHeight="1" x14ac:dyDescent="0.25">
      <c r="A90" s="776"/>
      <c r="B90" s="776"/>
      <c r="C90" s="864"/>
      <c r="D90" s="776"/>
      <c r="E90" s="776"/>
      <c r="F90" s="776"/>
      <c r="G90" s="776"/>
      <c r="H90" s="776"/>
      <c r="I90" s="776"/>
      <c r="J90" s="853"/>
      <c r="K90" s="853"/>
      <c r="L90" s="776"/>
      <c r="M90" s="776"/>
      <c r="N90" s="776"/>
      <c r="O90" s="776"/>
      <c r="P90" s="776"/>
      <c r="Q90" s="776"/>
      <c r="R90" s="776"/>
      <c r="S90" s="776"/>
      <c r="T90" s="853"/>
      <c r="U90" s="853"/>
      <c r="V90" s="853"/>
      <c r="W90" s="853"/>
      <c r="X90" s="853"/>
      <c r="Y90" s="778"/>
      <c r="Z90" s="778"/>
      <c r="AA90" s="776"/>
      <c r="AB90" s="776"/>
      <c r="AC90" s="776"/>
      <c r="AD90" s="776"/>
      <c r="AE90" s="776"/>
      <c r="AF90" s="776"/>
      <c r="AG90" s="776"/>
      <c r="AH90" s="776"/>
      <c r="AI90" s="776"/>
      <c r="AJ90" s="776"/>
      <c r="AK90" s="776"/>
      <c r="AN90" s="776"/>
      <c r="AO90" s="776"/>
      <c r="AP90" s="776"/>
      <c r="AR90" s="776"/>
      <c r="AS90" s="776"/>
      <c r="AT90" s="776"/>
      <c r="AU90" s="776"/>
      <c r="AV90" s="776"/>
      <c r="AW90" s="776"/>
      <c r="AX90" s="776"/>
      <c r="BQ90" s="870"/>
      <c r="BR90" s="870"/>
      <c r="BS90" s="870"/>
      <c r="BT90" s="870"/>
      <c r="BU90" s="870"/>
    </row>
    <row r="91" spans="1:73" ht="15.95" hidden="1" customHeight="1" x14ac:dyDescent="0.25">
      <c r="A91" s="776"/>
      <c r="B91" s="776"/>
      <c r="C91" s="864"/>
      <c r="D91" s="776"/>
      <c r="E91" s="776"/>
      <c r="F91" s="776"/>
      <c r="G91" s="776"/>
      <c r="H91" s="776"/>
      <c r="I91" s="776"/>
      <c r="J91" s="853"/>
      <c r="K91" s="853"/>
      <c r="L91" s="776"/>
      <c r="M91" s="776"/>
      <c r="N91" s="776"/>
      <c r="O91" s="776"/>
      <c r="P91" s="776"/>
      <c r="Q91" s="776"/>
      <c r="R91" s="776"/>
      <c r="S91" s="776"/>
      <c r="T91" s="853"/>
      <c r="U91" s="853"/>
      <c r="V91" s="853"/>
      <c r="W91" s="853"/>
      <c r="X91" s="853"/>
      <c r="Y91" s="778"/>
      <c r="Z91" s="778"/>
      <c r="AA91" s="776"/>
      <c r="AB91" s="776"/>
      <c r="AC91" s="776"/>
      <c r="AD91" s="776"/>
      <c r="AE91" s="776"/>
      <c r="AF91" s="776"/>
      <c r="AG91" s="776"/>
      <c r="AH91" s="776"/>
      <c r="AI91" s="776"/>
      <c r="AJ91" s="776"/>
      <c r="AK91" s="776"/>
      <c r="AN91" s="776"/>
      <c r="AO91" s="776"/>
      <c r="AP91" s="776"/>
      <c r="AR91" s="776"/>
      <c r="AS91" s="776"/>
      <c r="AT91" s="776"/>
      <c r="AU91" s="776"/>
      <c r="AV91" s="776"/>
      <c r="AW91" s="776"/>
      <c r="AX91" s="776"/>
      <c r="BQ91" s="870"/>
      <c r="BR91" s="870"/>
      <c r="BS91" s="870"/>
      <c r="BT91" s="870"/>
      <c r="BU91" s="870"/>
    </row>
    <row r="92" spans="1:73" ht="15.95" hidden="1" customHeight="1" x14ac:dyDescent="0.25">
      <c r="A92" s="776"/>
      <c r="B92" s="776"/>
      <c r="C92" s="864"/>
      <c r="D92" s="776"/>
      <c r="E92" s="776"/>
      <c r="F92" s="776"/>
      <c r="G92" s="776"/>
      <c r="H92" s="776"/>
      <c r="I92" s="776"/>
      <c r="J92" s="853"/>
      <c r="K92" s="853"/>
      <c r="L92" s="776"/>
      <c r="M92" s="776"/>
      <c r="N92" s="776"/>
      <c r="O92" s="776"/>
      <c r="P92" s="776"/>
      <c r="Q92" s="776"/>
      <c r="R92" s="776"/>
      <c r="S92" s="776"/>
      <c r="T92" s="853"/>
      <c r="U92" s="853"/>
      <c r="V92" s="853"/>
      <c r="W92" s="853"/>
      <c r="X92" s="853"/>
      <c r="Y92" s="778"/>
      <c r="Z92" s="778"/>
      <c r="AA92" s="776"/>
      <c r="AB92" s="776"/>
      <c r="AC92" s="776"/>
      <c r="AD92" s="776"/>
      <c r="AE92" s="776"/>
      <c r="AF92" s="776"/>
      <c r="AG92" s="776"/>
      <c r="AH92" s="776"/>
      <c r="AI92" s="776"/>
      <c r="AJ92" s="776"/>
      <c r="AK92" s="776"/>
      <c r="AN92" s="776"/>
      <c r="AO92" s="776"/>
      <c r="AP92" s="776"/>
      <c r="AR92" s="776"/>
      <c r="AS92" s="776"/>
      <c r="AT92" s="776"/>
      <c r="AU92" s="776"/>
      <c r="AV92" s="776"/>
      <c r="AW92" s="776"/>
      <c r="AX92" s="776"/>
      <c r="BQ92" s="870"/>
      <c r="BR92" s="870"/>
      <c r="BS92" s="870"/>
      <c r="BT92" s="870"/>
      <c r="BU92" s="870"/>
    </row>
    <row r="93" spans="1:73" ht="15.95" hidden="1" customHeight="1" x14ac:dyDescent="0.25">
      <c r="A93" s="776"/>
      <c r="B93" s="776"/>
      <c r="C93" s="864"/>
      <c r="D93" s="776"/>
      <c r="E93" s="776"/>
      <c r="F93" s="776"/>
      <c r="G93" s="776"/>
      <c r="H93" s="776"/>
      <c r="I93" s="776"/>
      <c r="J93" s="853"/>
      <c r="K93" s="853"/>
      <c r="L93" s="776"/>
      <c r="M93" s="776"/>
      <c r="N93" s="776"/>
      <c r="O93" s="776"/>
      <c r="P93" s="776"/>
      <c r="Q93" s="776"/>
      <c r="R93" s="776"/>
      <c r="S93" s="776"/>
      <c r="T93" s="853"/>
      <c r="U93" s="853"/>
      <c r="V93" s="853"/>
      <c r="W93" s="853"/>
      <c r="X93" s="853"/>
      <c r="Y93" s="778"/>
      <c r="Z93" s="778"/>
      <c r="AA93" s="776"/>
      <c r="AB93" s="776"/>
      <c r="AC93" s="776"/>
      <c r="AD93" s="776"/>
      <c r="AE93" s="776"/>
      <c r="AF93" s="776"/>
      <c r="AG93" s="776"/>
      <c r="AH93" s="776"/>
      <c r="AI93" s="776"/>
      <c r="AJ93" s="776"/>
      <c r="AK93" s="776"/>
      <c r="AN93" s="776"/>
      <c r="AO93" s="776"/>
      <c r="AP93" s="776"/>
      <c r="AR93" s="776"/>
      <c r="AS93" s="776"/>
      <c r="AT93" s="776"/>
      <c r="AU93" s="776"/>
      <c r="AV93" s="776"/>
      <c r="AW93" s="776"/>
      <c r="AX93" s="776"/>
      <c r="BQ93" s="870"/>
      <c r="BR93" s="870"/>
      <c r="BS93" s="870"/>
      <c r="BT93" s="870"/>
      <c r="BU93" s="870"/>
    </row>
    <row r="94" spans="1:73" ht="15.95" hidden="1" customHeight="1" x14ac:dyDescent="0.25">
      <c r="A94" s="776"/>
      <c r="B94" s="776"/>
      <c r="C94" s="864"/>
      <c r="D94" s="776"/>
      <c r="E94" s="776"/>
      <c r="F94" s="776"/>
      <c r="G94" s="776"/>
      <c r="H94" s="776"/>
      <c r="I94" s="776"/>
      <c r="J94" s="853"/>
      <c r="K94" s="853"/>
      <c r="L94" s="776"/>
      <c r="M94" s="776"/>
      <c r="N94" s="776"/>
      <c r="O94" s="776"/>
      <c r="P94" s="776"/>
      <c r="Q94" s="776"/>
      <c r="R94" s="776"/>
      <c r="S94" s="776"/>
      <c r="T94" s="853"/>
      <c r="U94" s="853"/>
      <c r="V94" s="853"/>
      <c r="W94" s="853"/>
      <c r="X94" s="853"/>
      <c r="Y94" s="778"/>
      <c r="Z94" s="778"/>
      <c r="AA94" s="776"/>
      <c r="AB94" s="776"/>
      <c r="AC94" s="776"/>
      <c r="AD94" s="776"/>
      <c r="AE94" s="776"/>
      <c r="AF94" s="776"/>
      <c r="AG94" s="776"/>
      <c r="AH94" s="776"/>
      <c r="AI94" s="776"/>
      <c r="AJ94" s="776"/>
      <c r="AK94" s="776"/>
      <c r="AN94" s="776"/>
      <c r="AO94" s="776"/>
      <c r="AP94" s="776"/>
      <c r="AR94" s="776"/>
      <c r="AS94" s="776"/>
      <c r="AT94" s="776"/>
      <c r="AU94" s="776"/>
      <c r="AV94" s="776"/>
      <c r="AW94" s="776"/>
      <c r="AX94" s="776"/>
      <c r="BQ94" s="870"/>
      <c r="BR94" s="870"/>
      <c r="BS94" s="870"/>
      <c r="BT94" s="870"/>
      <c r="BU94" s="870"/>
    </row>
    <row r="95" spans="1:73" ht="15.95" hidden="1" customHeight="1" x14ac:dyDescent="0.25">
      <c r="A95" s="776"/>
      <c r="B95" s="776"/>
      <c r="C95" s="864"/>
      <c r="D95" s="776"/>
      <c r="E95" s="776"/>
      <c r="F95" s="776"/>
      <c r="G95" s="776"/>
      <c r="H95" s="776"/>
      <c r="I95" s="776"/>
      <c r="J95" s="853"/>
      <c r="K95" s="853"/>
      <c r="L95" s="776"/>
      <c r="M95" s="776"/>
      <c r="N95" s="776"/>
      <c r="O95" s="776"/>
      <c r="P95" s="776"/>
      <c r="Q95" s="776"/>
      <c r="R95" s="776"/>
      <c r="S95" s="776"/>
      <c r="T95" s="853"/>
      <c r="U95" s="853"/>
      <c r="V95" s="853"/>
      <c r="W95" s="853"/>
      <c r="X95" s="853"/>
      <c r="Y95" s="778"/>
      <c r="Z95" s="778"/>
      <c r="AA95" s="776"/>
      <c r="AB95" s="776"/>
      <c r="AC95" s="776"/>
      <c r="AD95" s="776"/>
      <c r="AE95" s="776"/>
      <c r="AF95" s="776"/>
      <c r="AG95" s="776"/>
      <c r="AH95" s="776"/>
      <c r="AI95" s="776"/>
      <c r="AJ95" s="776"/>
      <c r="AK95" s="776"/>
      <c r="AN95" s="776"/>
      <c r="AO95" s="776"/>
      <c r="AP95" s="776"/>
      <c r="AR95" s="776"/>
      <c r="AS95" s="776"/>
      <c r="AT95" s="776"/>
      <c r="AU95" s="776"/>
      <c r="AV95" s="776"/>
      <c r="AW95" s="776"/>
      <c r="AX95" s="776"/>
      <c r="BQ95" s="870"/>
      <c r="BR95" s="870"/>
      <c r="BS95" s="870"/>
      <c r="BT95" s="870"/>
      <c r="BU95" s="870"/>
    </row>
    <row r="96" spans="1:73" ht="15.95" hidden="1" customHeight="1" x14ac:dyDescent="0.25">
      <c r="A96" s="776"/>
      <c r="B96" s="776"/>
      <c r="C96" s="864"/>
      <c r="D96" s="776"/>
      <c r="E96" s="776"/>
      <c r="F96" s="776"/>
      <c r="G96" s="776"/>
      <c r="H96" s="776"/>
      <c r="I96" s="776"/>
      <c r="J96" s="853"/>
      <c r="K96" s="853"/>
      <c r="L96" s="776"/>
      <c r="M96" s="776"/>
      <c r="N96" s="776"/>
      <c r="O96" s="776"/>
      <c r="P96" s="776"/>
      <c r="Q96" s="776"/>
      <c r="R96" s="776"/>
      <c r="S96" s="776"/>
      <c r="T96" s="853"/>
      <c r="U96" s="853"/>
      <c r="V96" s="853"/>
      <c r="W96" s="853"/>
      <c r="X96" s="853"/>
      <c r="Y96" s="778"/>
      <c r="Z96" s="778"/>
      <c r="AA96" s="776"/>
      <c r="AB96" s="776"/>
      <c r="AC96" s="776"/>
      <c r="AD96" s="776"/>
      <c r="AE96" s="776"/>
      <c r="AF96" s="776"/>
      <c r="AG96" s="776"/>
      <c r="AH96" s="776"/>
      <c r="AI96" s="776"/>
      <c r="AJ96" s="776"/>
      <c r="AK96" s="776"/>
      <c r="AN96" s="776"/>
      <c r="AO96" s="776"/>
      <c r="AP96" s="776"/>
      <c r="AR96" s="776"/>
      <c r="AS96" s="776"/>
      <c r="AT96" s="776"/>
      <c r="AU96" s="776"/>
      <c r="AV96" s="776"/>
      <c r="AW96" s="776"/>
      <c r="AX96" s="776"/>
      <c r="BQ96" s="870"/>
      <c r="BR96" s="870"/>
      <c r="BS96" s="870"/>
      <c r="BT96" s="870"/>
      <c r="BU96" s="870"/>
    </row>
    <row r="97" ht="15.95" hidden="1" customHeight="1" x14ac:dyDescent="0.25"/>
    <row r="98" ht="15.95" hidden="1" customHeight="1" x14ac:dyDescent="0.25"/>
    <row r="99" ht="15.95" hidden="1" customHeight="1" x14ac:dyDescent="0.25"/>
    <row r="100" ht="15.95" hidden="1" customHeight="1" x14ac:dyDescent="0.25"/>
    <row r="101" ht="15.95" hidden="1" customHeight="1" x14ac:dyDescent="0.25"/>
    <row r="102" ht="15.95" hidden="1" customHeight="1" x14ac:dyDescent="0.25"/>
    <row r="103" ht="15.95" hidden="1" customHeight="1" x14ac:dyDescent="0.25"/>
    <row r="104" ht="15.95" hidden="1" customHeight="1" x14ac:dyDescent="0.25"/>
    <row r="105" ht="15.95" hidden="1" customHeight="1" x14ac:dyDescent="0.25"/>
    <row r="106" ht="15.95" hidden="1" customHeight="1" x14ac:dyDescent="0.25"/>
    <row r="107" ht="15.95" hidden="1" customHeight="1" x14ac:dyDescent="0.25"/>
    <row r="108" ht="15.95" hidden="1" customHeight="1" x14ac:dyDescent="0.25"/>
    <row r="109" ht="15.95" hidden="1" customHeight="1" x14ac:dyDescent="0.25"/>
    <row r="110" ht="15.95" hidden="1" customHeight="1" x14ac:dyDescent="0.25"/>
    <row r="111" ht="15.95" hidden="1" customHeight="1" x14ac:dyDescent="0.25"/>
    <row r="112" ht="15.95" hidden="1" customHeight="1" x14ac:dyDescent="0.25"/>
    <row r="113" ht="15.95" hidden="1" customHeight="1" x14ac:dyDescent="0.25"/>
    <row r="114" ht="15.95" hidden="1" customHeight="1" x14ac:dyDescent="0.25"/>
    <row r="115" ht="15.95" hidden="1" customHeight="1" x14ac:dyDescent="0.25"/>
    <row r="116" ht="15.95" hidden="1" customHeight="1" x14ac:dyDescent="0.25"/>
    <row r="117" ht="15.95" hidden="1" customHeight="1" x14ac:dyDescent="0.25"/>
    <row r="118" ht="15.95" hidden="1" customHeight="1" x14ac:dyDescent="0.25"/>
    <row r="119" ht="15.95" hidden="1" customHeight="1" x14ac:dyDescent="0.25"/>
    <row r="120" ht="15.95" hidden="1" customHeight="1" x14ac:dyDescent="0.25"/>
    <row r="121" ht="15.95" hidden="1" customHeight="1" x14ac:dyDescent="0.25"/>
    <row r="122" ht="15.95" hidden="1" customHeight="1" x14ac:dyDescent="0.25"/>
    <row r="123" ht="15.95" hidden="1" customHeight="1" x14ac:dyDescent="0.25"/>
    <row r="124" ht="15.95" hidden="1" customHeight="1" x14ac:dyDescent="0.25"/>
    <row r="125" ht="15.95" hidden="1" customHeight="1" x14ac:dyDescent="0.25"/>
    <row r="126" ht="15.95" hidden="1" customHeight="1" x14ac:dyDescent="0.25"/>
    <row r="127" ht="15.95" hidden="1" customHeight="1" x14ac:dyDescent="0.25"/>
    <row r="128" ht="15.95" hidden="1" customHeight="1" x14ac:dyDescent="0.25"/>
    <row r="129" ht="15.95" hidden="1" customHeight="1" x14ac:dyDescent="0.25"/>
    <row r="130" ht="15.95" hidden="1" customHeight="1" x14ac:dyDescent="0.25"/>
    <row r="131" ht="15.95" hidden="1" customHeight="1" x14ac:dyDescent="0.25"/>
    <row r="132" ht="15.95" hidden="1" customHeight="1" x14ac:dyDescent="0.25"/>
    <row r="133" ht="15.95" hidden="1" customHeight="1" x14ac:dyDescent="0.25"/>
    <row r="134" ht="15.95" hidden="1" customHeight="1" x14ac:dyDescent="0.25"/>
    <row r="135" ht="15.95" hidden="1" customHeight="1" x14ac:dyDescent="0.25"/>
    <row r="136" ht="15.95" hidden="1" customHeight="1" x14ac:dyDescent="0.25"/>
    <row r="137" ht="15.95" hidden="1" customHeight="1" x14ac:dyDescent="0.25"/>
    <row r="138" ht="15.95" hidden="1" customHeight="1" x14ac:dyDescent="0.25"/>
    <row r="139" ht="15.95" hidden="1" customHeight="1" x14ac:dyDescent="0.25"/>
    <row r="140" ht="15.95" hidden="1" customHeight="1" x14ac:dyDescent="0.25"/>
    <row r="141" ht="15.95" hidden="1" customHeight="1" x14ac:dyDescent="0.25"/>
    <row r="142" ht="15.95" hidden="1" customHeight="1" x14ac:dyDescent="0.25"/>
    <row r="143" ht="15.95" hidden="1" customHeight="1" x14ac:dyDescent="0.25"/>
    <row r="144" ht="15.95" hidden="1" customHeight="1" x14ac:dyDescent="0.25"/>
    <row r="145" ht="15.95" hidden="1" customHeight="1" x14ac:dyDescent="0.25"/>
    <row r="146" ht="15.95" hidden="1" customHeight="1" x14ac:dyDescent="0.25"/>
    <row r="147" ht="15.95" hidden="1" customHeight="1" x14ac:dyDescent="0.25"/>
    <row r="148" ht="15.95" hidden="1" customHeight="1" x14ac:dyDescent="0.25"/>
    <row r="149" ht="15.95" hidden="1" customHeight="1" x14ac:dyDescent="0.25"/>
    <row r="150" ht="15.95" hidden="1" customHeight="1" x14ac:dyDescent="0.25"/>
    <row r="151" ht="15.95" hidden="1" customHeight="1" x14ac:dyDescent="0.25"/>
    <row r="152" ht="15.95" hidden="1" customHeight="1" x14ac:dyDescent="0.25"/>
    <row r="153" ht="15.95" hidden="1" customHeight="1" x14ac:dyDescent="0.25"/>
    <row r="154" ht="15.95" hidden="1" customHeight="1" x14ac:dyDescent="0.25"/>
    <row r="155" ht="15.95" hidden="1" customHeight="1" x14ac:dyDescent="0.25"/>
    <row r="156" ht="15.95" hidden="1" customHeight="1" x14ac:dyDescent="0.25"/>
    <row r="157" ht="15.95" hidden="1" customHeight="1" x14ac:dyDescent="0.25"/>
    <row r="158" ht="15.95" hidden="1" customHeight="1" x14ac:dyDescent="0.25"/>
    <row r="159" ht="15.95" hidden="1" customHeight="1" x14ac:dyDescent="0.25"/>
    <row r="160" ht="15.95" hidden="1" customHeight="1" x14ac:dyDescent="0.25"/>
    <row r="161" ht="15.95" hidden="1" customHeight="1" x14ac:dyDescent="0.25"/>
    <row r="162" ht="15.95" hidden="1" customHeight="1" x14ac:dyDescent="0.25"/>
    <row r="163" ht="15.95" hidden="1" customHeight="1" x14ac:dyDescent="0.25"/>
    <row r="164" ht="15.95" hidden="1" customHeight="1" x14ac:dyDescent="0.25"/>
    <row r="165" ht="15.95" hidden="1" customHeight="1" x14ac:dyDescent="0.25"/>
    <row r="166" ht="15.95" hidden="1" customHeight="1" x14ac:dyDescent="0.25"/>
    <row r="167" ht="15.95" hidden="1" customHeight="1" x14ac:dyDescent="0.25"/>
    <row r="168" ht="15.95" hidden="1" customHeight="1" x14ac:dyDescent="0.25"/>
    <row r="169" ht="15.95" hidden="1" customHeight="1" x14ac:dyDescent="0.25"/>
    <row r="170" ht="15.95" hidden="1" customHeight="1" x14ac:dyDescent="0.25"/>
    <row r="171" ht="15.95" hidden="1" customHeight="1" x14ac:dyDescent="0.25"/>
    <row r="172" ht="15.95" hidden="1" customHeight="1" x14ac:dyDescent="0.25"/>
    <row r="173" ht="15.95" hidden="1" customHeight="1" x14ac:dyDescent="0.25"/>
    <row r="174" ht="15.95" hidden="1" customHeight="1" x14ac:dyDescent="0.25"/>
    <row r="175" ht="15.95" hidden="1" customHeight="1" x14ac:dyDescent="0.25"/>
    <row r="176" ht="15.95" hidden="1" customHeight="1" x14ac:dyDescent="0.25"/>
    <row r="177" ht="15.95" hidden="1" customHeight="1" x14ac:dyDescent="0.25"/>
    <row r="178" ht="15.95" hidden="1" customHeight="1" x14ac:dyDescent="0.25"/>
    <row r="179" ht="15.95" hidden="1" customHeight="1" x14ac:dyDescent="0.25"/>
    <row r="180" ht="15.95" hidden="1" customHeight="1" x14ac:dyDescent="0.25"/>
    <row r="181" ht="15.95" hidden="1" customHeight="1" x14ac:dyDescent="0.25"/>
    <row r="182" ht="15.95" hidden="1" customHeight="1" x14ac:dyDescent="0.25"/>
    <row r="183" ht="15.95" hidden="1" customHeight="1" x14ac:dyDescent="0.25"/>
    <row r="184" ht="15.95" hidden="1" customHeight="1" x14ac:dyDescent="0.25"/>
    <row r="185" ht="15.95" hidden="1" customHeight="1" x14ac:dyDescent="0.25"/>
    <row r="186" ht="15.95" hidden="1" customHeight="1" x14ac:dyDescent="0.25"/>
    <row r="187" ht="15.95" hidden="1" customHeight="1" x14ac:dyDescent="0.25"/>
    <row r="188" ht="15.95" hidden="1" customHeight="1" x14ac:dyDescent="0.25"/>
    <row r="189" ht="15.95" hidden="1" customHeight="1" x14ac:dyDescent="0.25"/>
    <row r="190" ht="15.95" hidden="1" customHeight="1" x14ac:dyDescent="0.25"/>
    <row r="191" ht="15.95" hidden="1" customHeight="1" x14ac:dyDescent="0.25"/>
    <row r="192" ht="15.95" hidden="1" customHeight="1" x14ac:dyDescent="0.25"/>
    <row r="193" ht="15.95" hidden="1" customHeight="1" x14ac:dyDescent="0.25"/>
    <row r="194" ht="15.95" hidden="1" customHeight="1" x14ac:dyDescent="0.25"/>
    <row r="195" ht="15.95" hidden="1" customHeight="1" x14ac:dyDescent="0.25"/>
    <row r="196" ht="15.95" hidden="1" customHeight="1" x14ac:dyDescent="0.25"/>
    <row r="197" ht="15.95" hidden="1" customHeight="1" x14ac:dyDescent="0.25"/>
    <row r="198" ht="15.95" hidden="1" customHeight="1" x14ac:dyDescent="0.25"/>
    <row r="199" ht="15.95" hidden="1" customHeight="1" x14ac:dyDescent="0.25"/>
    <row r="200" ht="15.95" hidden="1" customHeight="1" x14ac:dyDescent="0.25"/>
  </sheetData>
  <sheetProtection algorithmName="SHA-512" hashValue="6Uv+ljeyPUWqEWMkm+5+GzgLmtgT3XJIXp9EN8rFE50yV+RdFETaJAUiYFWhbcSgl4Tb/7UY6Aa6r96/T5Go5Q==" saltValue="ekJjEWqDItmzegHHiP2tmA==" spinCount="100000" sheet="1" objects="1" scenarios="1" selectLockedCells="1" selectUnlockedCells="1"/>
  <mergeCells count="29">
    <mergeCell ref="BR20:BS20"/>
    <mergeCell ref="AY19:AZ19"/>
    <mergeCell ref="BA19:BB19"/>
    <mergeCell ref="BE19:BF19"/>
    <mergeCell ref="BG19:BH19"/>
    <mergeCell ref="X16:Y16"/>
    <mergeCell ref="AG2:AH2"/>
    <mergeCell ref="AG13:AI13"/>
    <mergeCell ref="AG3:AH3"/>
    <mergeCell ref="G7:H7"/>
    <mergeCell ref="AC3:AD3"/>
    <mergeCell ref="AC7:AE7"/>
    <mergeCell ref="AC2:AD2"/>
    <mergeCell ref="BA29:BB29"/>
    <mergeCell ref="AY28:BC28"/>
    <mergeCell ref="BK1:BL1"/>
    <mergeCell ref="BM1:BN1"/>
    <mergeCell ref="BK10:BL10"/>
    <mergeCell ref="BM10:BN10"/>
    <mergeCell ref="BK19:BL19"/>
    <mergeCell ref="BM19:BN19"/>
    <mergeCell ref="BE1:BF1"/>
    <mergeCell ref="BG1:BH1"/>
    <mergeCell ref="AY1:AZ1"/>
    <mergeCell ref="BA1:BB1"/>
    <mergeCell ref="AY10:AZ10"/>
    <mergeCell ref="BA10:BB10"/>
    <mergeCell ref="BE10:BF10"/>
    <mergeCell ref="BG10:BH10"/>
  </mergeCells>
  <phoneticPr fontId="10" type="noConversion"/>
  <conditionalFormatting sqref="M3:M40">
    <cfRule type="expression" dxfId="9" priority="24">
      <formula>R3&gt;R2</formula>
    </cfRule>
  </conditionalFormatting>
  <conditionalFormatting sqref="M41:M42">
    <cfRule type="expression" dxfId="8" priority="39">
      <formula>R41&gt;R39</formula>
    </cfRule>
  </conditionalFormatting>
  <conditionalFormatting sqref="N3:N40 P3:P40">
    <cfRule type="notContainsBlanks" dxfId="7" priority="23">
      <formula>LEN(TRIM(N3))&gt;0</formula>
    </cfRule>
  </conditionalFormatting>
  <conditionalFormatting sqref="R3:R42">
    <cfRule type="expression" dxfId="6" priority="27">
      <formula>R3&gt;R2</formula>
    </cfRule>
  </conditionalFormatting>
  <conditionalFormatting sqref="W3:Z14">
    <cfRule type="expression" dxfId="5" priority="8">
      <formula>W3&lt;&gt;W2</formula>
    </cfRule>
  </conditionalFormatting>
  <conditionalFormatting sqref="AB9:AB40">
    <cfRule type="expression" dxfId="4" priority="5">
      <formula>AC9&gt;AC8</formula>
    </cfRule>
  </conditionalFormatting>
  <conditionalFormatting sqref="AB45">
    <cfRule type="expression" dxfId="3" priority="2">
      <formula>AC45&gt;AC44</formula>
    </cfRule>
  </conditionalFormatting>
  <conditionalFormatting sqref="AC9:AE43">
    <cfRule type="expression" dxfId="2" priority="16">
      <formula>AC9&gt;AC8</formula>
    </cfRule>
  </conditionalFormatting>
  <conditionalFormatting sqref="AC45:AE46">
    <cfRule type="expression" dxfId="1" priority="1">
      <formula>AC45&gt;AC44</formula>
    </cfRule>
  </conditionalFormatting>
  <conditionalFormatting sqref="AG15:AI40">
    <cfRule type="expression" dxfId="0" priority="14">
      <formula>AG15&gt;AG14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BFFC-B10E-4E80-8E9C-B0FB4F31E5E3}">
  <sheetPr codeName="Sheet9">
    <tabColor rgb="FFFF0066"/>
    <pageSetUpPr fitToPage="1"/>
  </sheetPr>
  <dimension ref="B1:AH36"/>
  <sheetViews>
    <sheetView showGridLines="0" showRowColHeaders="0" showZeros="0" showRuler="0" zoomScaleNormal="100" zoomScaleSheetLayoutView="100" workbookViewId="0">
      <pane xSplit="2" ySplit="6" topLeftCell="C7" activePane="bottomRight" state="frozen"/>
      <selection pane="bottomLeft" activeCell="A5" sqref="A5"/>
      <selection pane="topRight" activeCell="C1" sqref="C1"/>
      <selection pane="bottomRight" activeCell="P2" sqref="P2"/>
    </sheetView>
  </sheetViews>
  <sheetFormatPr defaultColWidth="9.14453125" defaultRowHeight="17.25" x14ac:dyDescent="0.25"/>
  <cols>
    <col min="1" max="1" width="1.34375" style="20" customWidth="1" collapsed="1"/>
    <col min="2" max="2" width="10.76171875" style="20" customWidth="1" collapsed="1"/>
    <col min="3" max="3" width="7.6640625" style="20" customWidth="1" collapsed="1"/>
    <col min="4" max="5" width="6.72265625" style="20" customWidth="1" collapsed="1"/>
    <col min="6" max="6" width="6.72265625" style="20" customWidth="1"/>
    <col min="7" max="7" width="4.70703125" style="20" customWidth="1" collapsed="1"/>
    <col min="8" max="9" width="5.37890625" style="20" customWidth="1" collapsed="1"/>
    <col min="10" max="10" width="5.24609375" style="20" customWidth="1" collapsed="1"/>
    <col min="11" max="11" width="4.70703125" style="20" customWidth="1" collapsed="1"/>
    <col min="12" max="14" width="4.4375" style="20" customWidth="1" collapsed="1"/>
    <col min="15" max="15" width="6.72265625" style="20" customWidth="1" collapsed="1"/>
    <col min="16" max="16" width="9.68359375" style="20" customWidth="1" collapsed="1"/>
    <col min="17" max="17" width="6.859375" style="20" customWidth="1" collapsed="1"/>
    <col min="18" max="18" width="6.72265625" style="20" customWidth="1" collapsed="1"/>
    <col min="19" max="19" width="4.4375" style="20" customWidth="1" collapsed="1"/>
    <col min="20" max="21" width="4.3046875" style="20" customWidth="1" collapsed="1"/>
    <col min="22" max="22" width="5.6484375" style="20" customWidth="1" collapsed="1"/>
    <col min="23" max="23" width="6.05078125" style="20" customWidth="1" collapsed="1"/>
    <col min="24" max="24" width="6.1875" style="20" bestFit="1" customWidth="1" collapsed="1"/>
    <col min="25" max="27" width="7.6640625" style="20" customWidth="1" collapsed="1"/>
    <col min="28" max="28" width="6.3203125" style="20" customWidth="1" collapsed="1"/>
    <col min="29" max="29" width="6.9921875" style="20" customWidth="1" collapsed="1"/>
    <col min="30" max="30" width="10.625" style="20" bestFit="1" customWidth="1" collapsed="1"/>
    <col min="31" max="31" width="7.6640625" style="21" bestFit="1" customWidth="1" collapsed="1"/>
    <col min="32" max="32" width="7.80078125" style="20" bestFit="1" customWidth="1" collapsed="1"/>
    <col min="33" max="34" width="9.14453125" style="20"/>
    <col min="35" max="16384" width="9.14453125" style="20" collapsed="1"/>
  </cols>
  <sheetData>
    <row r="1" spans="2:32" ht="5.0999999999999996" customHeight="1" thickBot="1" x14ac:dyDescent="0.3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F1" s="804"/>
    </row>
    <row r="2" spans="2:32" ht="30" customHeight="1" thickTop="1" thickBot="1" x14ac:dyDescent="0.3">
      <c r="B2" s="990" t="s">
        <v>734</v>
      </c>
      <c r="C2" s="1179" t="s">
        <v>735</v>
      </c>
      <c r="D2" s="1179"/>
      <c r="E2" s="1179"/>
      <c r="F2" s="1179"/>
      <c r="G2" s="1179"/>
      <c r="H2" s="1179"/>
      <c r="I2" s="1179"/>
      <c r="J2" s="1179"/>
      <c r="K2" s="1179"/>
      <c r="L2" s="1179"/>
      <c r="M2" s="1179"/>
      <c r="N2" s="1179"/>
      <c r="O2" s="1180"/>
      <c r="P2" s="965" t="s">
        <v>51</v>
      </c>
      <c r="Q2" s="804"/>
      <c r="R2" s="1181" t="s">
        <v>719</v>
      </c>
      <c r="S2" s="1182"/>
      <c r="T2" s="1182"/>
      <c r="U2" s="1182"/>
      <c r="V2" s="1182"/>
      <c r="W2" s="1182"/>
      <c r="X2" s="1182"/>
      <c r="Y2" s="1182"/>
      <c r="Z2" s="1182"/>
      <c r="AA2" s="1182"/>
      <c r="AB2" s="1182"/>
      <c r="AC2" s="1183"/>
      <c r="AD2" s="804"/>
      <c r="AF2" s="804"/>
    </row>
    <row r="3" spans="2:32" ht="15.95" customHeight="1" thickTop="1" thickBot="1" x14ac:dyDescent="0.3"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  <c r="Z3" s="804"/>
      <c r="AA3" s="804"/>
      <c r="AB3" s="804"/>
      <c r="AC3" s="804"/>
      <c r="AD3" s="804"/>
      <c r="AF3" s="804"/>
    </row>
    <row r="4" spans="2:32" ht="23.1" customHeight="1" thickTop="1" x14ac:dyDescent="0.25">
      <c r="B4" s="257" t="str">
        <f>IF(DATA!E24="","OLD",IF(DATA!D26="AUTO",DATA!E24,DATA!D26))</f>
        <v>NEW</v>
      </c>
      <c r="C4" s="805" t="str">
        <f>DATA!G17&amp;UPPER(DATA!H17)</f>
        <v>Sri.  PERUMALLA RAMANJANEYULU</v>
      </c>
      <c r="D4" s="806"/>
      <c r="E4" s="806"/>
      <c r="F4" s="806"/>
      <c r="G4" s="806"/>
      <c r="H4" s="806"/>
      <c r="I4" s="806"/>
      <c r="J4" s="1193" t="s">
        <v>143</v>
      </c>
      <c r="K4" s="1193"/>
      <c r="L4" s="1193"/>
      <c r="M4" s="1171" t="str">
        <f>UPPER(DATA!H21)</f>
        <v>Z.P.HIGH SCHOOL</v>
      </c>
      <c r="N4" s="1171"/>
      <c r="O4" s="1171"/>
      <c r="P4" s="1171"/>
      <c r="Q4" s="1171"/>
      <c r="R4" s="807" t="s">
        <v>144</v>
      </c>
      <c r="S4" s="1171" t="str">
        <f>UPPER(DATA!H23)</f>
        <v>BETHAMCHERLA</v>
      </c>
      <c r="T4" s="1171"/>
      <c r="U4" s="1171"/>
      <c r="V4" s="1171"/>
      <c r="W4" s="1171"/>
      <c r="X4" s="1171"/>
      <c r="Y4" s="1172" t="s">
        <v>145</v>
      </c>
      <c r="Z4" s="1172"/>
      <c r="AA4" s="1173" t="str">
        <f>TEXT(DATA!H19,"0000000")</f>
        <v>0123456</v>
      </c>
      <c r="AB4" s="1173"/>
      <c r="AC4" s="1174"/>
      <c r="AD4" s="804"/>
      <c r="AF4" s="804"/>
    </row>
    <row r="5" spans="2:32" ht="23.1" customHeight="1" thickBot="1" x14ac:dyDescent="0.3">
      <c r="B5" s="258" t="s">
        <v>146</v>
      </c>
      <c r="C5" s="808" t="str">
        <f>UPPER(DATA!H18)</f>
        <v>SECONDARY GRADE TEACHER</v>
      </c>
      <c r="D5" s="809"/>
      <c r="E5" s="809"/>
      <c r="F5" s="809"/>
      <c r="G5" s="809"/>
      <c r="H5" s="809"/>
      <c r="I5" s="809"/>
      <c r="J5" s="1175" t="s">
        <v>147</v>
      </c>
      <c r="K5" s="1175"/>
      <c r="L5" s="1175"/>
      <c r="M5" s="1176" t="str">
        <f>UPPER(DATA!H22)</f>
        <v>RAHIMANPURAM</v>
      </c>
      <c r="N5" s="1176"/>
      <c r="O5" s="1176"/>
      <c r="P5" s="1176"/>
      <c r="Q5" s="1176"/>
      <c r="R5" s="810" t="s">
        <v>148</v>
      </c>
      <c r="S5" s="1176" t="str">
        <f>UPPER(DATA!H24)</f>
        <v>NANDYAL</v>
      </c>
      <c r="T5" s="1176"/>
      <c r="U5" s="1176"/>
      <c r="V5" s="1176"/>
      <c r="W5" s="1176"/>
      <c r="X5" s="1176"/>
      <c r="Y5" s="1177" t="s">
        <v>149</v>
      </c>
      <c r="Z5" s="1177"/>
      <c r="AA5" s="1176" t="str">
        <f>UPPER(DATA!H20)</f>
        <v>MYPAN1234S</v>
      </c>
      <c r="AB5" s="1176"/>
      <c r="AC5" s="1178"/>
      <c r="AD5" s="804"/>
      <c r="AF5" s="804"/>
    </row>
    <row r="6" spans="2:32" s="30" customFormat="1" ht="45" customHeight="1" thickTop="1" x14ac:dyDescent="0.2">
      <c r="B6" s="127" t="s">
        <v>150</v>
      </c>
      <c r="C6" s="128" t="s">
        <v>151</v>
      </c>
      <c r="D6" s="129" t="s">
        <v>152</v>
      </c>
      <c r="E6" s="129" t="s">
        <v>132</v>
      </c>
      <c r="F6" s="129" t="s">
        <v>731</v>
      </c>
      <c r="G6" s="130" t="s">
        <v>153</v>
      </c>
      <c r="H6" s="131" t="s">
        <v>154</v>
      </c>
      <c r="I6" s="132" t="s">
        <v>155</v>
      </c>
      <c r="J6" s="128" t="s">
        <v>156</v>
      </c>
      <c r="K6" s="133" t="s">
        <v>96</v>
      </c>
      <c r="L6" s="133" t="s">
        <v>99</v>
      </c>
      <c r="M6" s="134" t="s">
        <v>103</v>
      </c>
      <c r="N6" s="134" t="s">
        <v>107</v>
      </c>
      <c r="O6" s="131" t="s">
        <v>3</v>
      </c>
      <c r="P6" s="128" t="s">
        <v>157</v>
      </c>
      <c r="Q6" s="135" t="str">
        <f>IF(DATA!D5="","CPS",DATA!D5)</f>
        <v>CPS</v>
      </c>
      <c r="R6" s="132" t="s">
        <v>115</v>
      </c>
      <c r="S6" s="132" t="s">
        <v>158</v>
      </c>
      <c r="T6" s="132" t="s">
        <v>121</v>
      </c>
      <c r="U6" s="133" t="s">
        <v>159</v>
      </c>
      <c r="V6" s="130" t="s">
        <v>160</v>
      </c>
      <c r="W6" s="128" t="s">
        <v>161</v>
      </c>
      <c r="X6" s="131" t="s">
        <v>4</v>
      </c>
      <c r="Y6" s="133" t="s">
        <v>162</v>
      </c>
      <c r="Z6" s="128" t="s">
        <v>163</v>
      </c>
      <c r="AA6" s="128" t="s">
        <v>164</v>
      </c>
      <c r="AB6" s="131" t="s">
        <v>165</v>
      </c>
      <c r="AC6" s="136" t="s">
        <v>166</v>
      </c>
    </row>
    <row r="7" spans="2:32" ht="18.95" customHeight="1" x14ac:dyDescent="0.25">
      <c r="B7" s="551">
        <f>DATA!G3</f>
        <v>45717</v>
      </c>
      <c r="C7" s="811">
        <f>'ANNEXURE I'!C5</f>
        <v>55520</v>
      </c>
      <c r="D7" s="811">
        <f>'ANNEXURE I'!D5</f>
        <v>18694</v>
      </c>
      <c r="E7" s="811">
        <f>'ANNEXURE I'!E5</f>
        <v>5552</v>
      </c>
      <c r="F7" s="811">
        <f>'ANNEXURE I'!F5</f>
        <v>0</v>
      </c>
      <c r="G7" s="811">
        <f>'ANNEXURE I'!G5</f>
        <v>150</v>
      </c>
      <c r="H7" s="811">
        <f>'ANNEXURE I'!H5</f>
        <v>0</v>
      </c>
      <c r="I7" s="811">
        <f>'ANNEXURE I'!I5</f>
        <v>0</v>
      </c>
      <c r="J7" s="811">
        <f>'ANNEXURE I'!J5</f>
        <v>0</v>
      </c>
      <c r="K7" s="811">
        <f>'ANNEXURE I'!K5</f>
        <v>0</v>
      </c>
      <c r="L7" s="811">
        <f>'ANNEXURE I'!L5</f>
        <v>0</v>
      </c>
      <c r="M7" s="811">
        <f>'ANNEXURE I'!M5</f>
        <v>0</v>
      </c>
      <c r="N7" s="811">
        <f>'ANNEXURE I'!N5</f>
        <v>0</v>
      </c>
      <c r="O7" s="811">
        <f>'ANNEXURE I'!O5</f>
        <v>0</v>
      </c>
      <c r="P7" s="76">
        <f t="shared" ref="P7:P19" si="0">SUM(C7:O7)</f>
        <v>79916</v>
      </c>
      <c r="Q7" s="811">
        <f>'ANNEXURE I'!Q5</f>
        <v>7421</v>
      </c>
      <c r="R7" s="811">
        <f>'ANNEXURE I'!R5</f>
        <v>2500</v>
      </c>
      <c r="S7" s="811">
        <f>'ANNEXURE I'!S5</f>
        <v>60</v>
      </c>
      <c r="T7" s="811">
        <f>'ANNEXURE I'!T5</f>
        <v>200</v>
      </c>
      <c r="U7" s="811">
        <f>'ANNEXURE I'!U5</f>
        <v>225</v>
      </c>
      <c r="V7" s="811">
        <f>'ANNEXURE I'!V5</f>
        <v>50</v>
      </c>
      <c r="W7" s="811">
        <f>'ANNEXURE I'!W5</f>
        <v>0</v>
      </c>
      <c r="X7" s="811">
        <f>'ANNEXURE I'!X5</f>
        <v>0</v>
      </c>
      <c r="Y7" s="811">
        <f>'ANNEXURE I'!Y5</f>
        <v>0</v>
      </c>
      <c r="Z7" s="75">
        <f t="shared" ref="Z7:Z18" si="1">SUM(Q7:Y7)</f>
        <v>10456</v>
      </c>
      <c r="AA7" s="75">
        <f t="shared" ref="AA7:AA26" si="2">P7-Z7</f>
        <v>69460</v>
      </c>
      <c r="AB7" s="403">
        <f>KEY!X3</f>
        <v>0.1</v>
      </c>
      <c r="AC7" s="404">
        <f>KEY!W3</f>
        <v>0.3367</v>
      </c>
      <c r="AD7" s="804"/>
      <c r="AE7" s="22"/>
      <c r="AF7" s="21"/>
    </row>
    <row r="8" spans="2:32" ht="18.95" customHeight="1" x14ac:dyDescent="0.25">
      <c r="B8" s="551">
        <f>DATA!G4</f>
        <v>45748</v>
      </c>
      <c r="C8" s="811">
        <f>'ANNEXURE I'!C6</f>
        <v>55520</v>
      </c>
      <c r="D8" s="811">
        <f>'ANNEXURE I'!D6</f>
        <v>18694</v>
      </c>
      <c r="E8" s="811">
        <f>'ANNEXURE I'!E6</f>
        <v>5552</v>
      </c>
      <c r="F8" s="811">
        <f>'ANNEXURE I'!F6</f>
        <v>0</v>
      </c>
      <c r="G8" s="811">
        <f>'ANNEXURE I'!G6</f>
        <v>150</v>
      </c>
      <c r="H8" s="811">
        <f>'ANNEXURE I'!H6</f>
        <v>0</v>
      </c>
      <c r="I8" s="811">
        <f>'ANNEXURE I'!I6</f>
        <v>0</v>
      </c>
      <c r="J8" s="811">
        <f>'ANNEXURE I'!J6</f>
        <v>0</v>
      </c>
      <c r="K8" s="811">
        <f>'ANNEXURE I'!K6</f>
        <v>0</v>
      </c>
      <c r="L8" s="811">
        <f>'ANNEXURE I'!L6</f>
        <v>0</v>
      </c>
      <c r="M8" s="811">
        <f>'ANNEXURE I'!M6</f>
        <v>0</v>
      </c>
      <c r="N8" s="811">
        <f>'ANNEXURE I'!N6</f>
        <v>0</v>
      </c>
      <c r="O8" s="811">
        <f>'ANNEXURE I'!O6</f>
        <v>0</v>
      </c>
      <c r="P8" s="76">
        <f t="shared" si="0"/>
        <v>79916</v>
      </c>
      <c r="Q8" s="811">
        <f>'ANNEXURE I'!Q6</f>
        <v>7421</v>
      </c>
      <c r="R8" s="811">
        <f>'ANNEXURE I'!R6</f>
        <v>2500</v>
      </c>
      <c r="S8" s="811">
        <f>'ANNEXURE I'!S6</f>
        <v>60</v>
      </c>
      <c r="T8" s="811">
        <f>'ANNEXURE I'!T6</f>
        <v>200</v>
      </c>
      <c r="U8" s="811">
        <f>'ANNEXURE I'!U6</f>
        <v>225</v>
      </c>
      <c r="V8" s="811">
        <f>'ANNEXURE I'!V6</f>
        <v>0</v>
      </c>
      <c r="W8" s="811">
        <f>'ANNEXURE I'!W6</f>
        <v>0</v>
      </c>
      <c r="X8" s="811">
        <f>'ANNEXURE I'!X6</f>
        <v>0</v>
      </c>
      <c r="Y8" s="811">
        <f>'ANNEXURE I'!Y6</f>
        <v>0</v>
      </c>
      <c r="Z8" s="75">
        <f t="shared" si="1"/>
        <v>10406</v>
      </c>
      <c r="AA8" s="75">
        <f t="shared" si="2"/>
        <v>69510</v>
      </c>
      <c r="AB8" s="403">
        <f>KEY!X4</f>
        <v>0.1</v>
      </c>
      <c r="AC8" s="404">
        <f>KEY!W4</f>
        <v>0.3367</v>
      </c>
      <c r="AD8" s="812"/>
      <c r="AE8" s="23"/>
      <c r="AF8" s="21"/>
    </row>
    <row r="9" spans="2:32" ht="18.95" customHeight="1" x14ac:dyDescent="0.25">
      <c r="B9" s="551">
        <f>DATA!G5</f>
        <v>45778</v>
      </c>
      <c r="C9" s="811">
        <f>'ANNEXURE I'!C7</f>
        <v>55520</v>
      </c>
      <c r="D9" s="811">
        <f>'ANNEXURE I'!D7</f>
        <v>18694</v>
      </c>
      <c r="E9" s="811">
        <f>'ANNEXURE I'!E7</f>
        <v>5552</v>
      </c>
      <c r="F9" s="811">
        <f>'ANNEXURE I'!F7</f>
        <v>0</v>
      </c>
      <c r="G9" s="811">
        <f>'ANNEXURE I'!G7</f>
        <v>150</v>
      </c>
      <c r="H9" s="811">
        <f>'ANNEXURE I'!H7</f>
        <v>0</v>
      </c>
      <c r="I9" s="811">
        <f>'ANNEXURE I'!I7</f>
        <v>0</v>
      </c>
      <c r="J9" s="811">
        <f>'ANNEXURE I'!J7</f>
        <v>0</v>
      </c>
      <c r="K9" s="811">
        <f>'ANNEXURE I'!K7</f>
        <v>0</v>
      </c>
      <c r="L9" s="811">
        <f>'ANNEXURE I'!L7</f>
        <v>0</v>
      </c>
      <c r="M9" s="811">
        <f>'ANNEXURE I'!M7</f>
        <v>0</v>
      </c>
      <c r="N9" s="811">
        <f>'ANNEXURE I'!N7</f>
        <v>0</v>
      </c>
      <c r="O9" s="811">
        <f>'ANNEXURE I'!O7</f>
        <v>0</v>
      </c>
      <c r="P9" s="76">
        <f t="shared" si="0"/>
        <v>79916</v>
      </c>
      <c r="Q9" s="811">
        <f>'ANNEXURE I'!Q7</f>
        <v>7421</v>
      </c>
      <c r="R9" s="811">
        <f>'ANNEXURE I'!R7</f>
        <v>2500</v>
      </c>
      <c r="S9" s="811">
        <f>'ANNEXURE I'!S7</f>
        <v>60</v>
      </c>
      <c r="T9" s="811">
        <f>'ANNEXURE I'!T7</f>
        <v>200</v>
      </c>
      <c r="U9" s="811">
        <f>'ANNEXURE I'!U7</f>
        <v>225</v>
      </c>
      <c r="V9" s="811">
        <f>'ANNEXURE I'!V7</f>
        <v>0</v>
      </c>
      <c r="W9" s="811">
        <f>'ANNEXURE I'!W7</f>
        <v>0</v>
      </c>
      <c r="X9" s="811">
        <f>'ANNEXURE I'!X7</f>
        <v>0</v>
      </c>
      <c r="Y9" s="811">
        <f>'ANNEXURE I'!Y7</f>
        <v>0</v>
      </c>
      <c r="Z9" s="75">
        <f t="shared" si="1"/>
        <v>10406</v>
      </c>
      <c r="AA9" s="75">
        <f t="shared" si="2"/>
        <v>69510</v>
      </c>
      <c r="AB9" s="403">
        <f>KEY!X5</f>
        <v>0.1</v>
      </c>
      <c r="AC9" s="404">
        <f>KEY!W5</f>
        <v>0.3367</v>
      </c>
      <c r="AD9" s="812"/>
      <c r="AE9" s="23"/>
      <c r="AF9" s="21"/>
    </row>
    <row r="10" spans="2:32" ht="18.95" customHeight="1" x14ac:dyDescent="0.25">
      <c r="B10" s="551">
        <f>DATA!G6</f>
        <v>45809</v>
      </c>
      <c r="C10" s="811">
        <f>'ANNEXURE I'!C8</f>
        <v>55520</v>
      </c>
      <c r="D10" s="811">
        <f>'ANNEXURE I'!D8</f>
        <v>18694</v>
      </c>
      <c r="E10" s="811">
        <f>'ANNEXURE I'!E8</f>
        <v>5552</v>
      </c>
      <c r="F10" s="811">
        <f>'ANNEXURE I'!F8</f>
        <v>0</v>
      </c>
      <c r="G10" s="811">
        <f>'ANNEXURE I'!G8</f>
        <v>150</v>
      </c>
      <c r="H10" s="811">
        <f>'ANNEXURE I'!H8</f>
        <v>0</v>
      </c>
      <c r="I10" s="811">
        <f>'ANNEXURE I'!I8</f>
        <v>0</v>
      </c>
      <c r="J10" s="811">
        <f>'ANNEXURE I'!J8</f>
        <v>0</v>
      </c>
      <c r="K10" s="811">
        <f>'ANNEXURE I'!K8</f>
        <v>0</v>
      </c>
      <c r="L10" s="811">
        <f>'ANNEXURE I'!L8</f>
        <v>0</v>
      </c>
      <c r="M10" s="811">
        <f>'ANNEXURE I'!M8</f>
        <v>0</v>
      </c>
      <c r="N10" s="811">
        <f>'ANNEXURE I'!N8</f>
        <v>0</v>
      </c>
      <c r="O10" s="811">
        <f>'ANNEXURE I'!O8</f>
        <v>0</v>
      </c>
      <c r="P10" s="76">
        <f t="shared" si="0"/>
        <v>79916</v>
      </c>
      <c r="Q10" s="811">
        <f>'ANNEXURE I'!Q8</f>
        <v>7421</v>
      </c>
      <c r="R10" s="811">
        <f>'ANNEXURE I'!R8</f>
        <v>2500</v>
      </c>
      <c r="S10" s="811">
        <f>'ANNEXURE I'!S8</f>
        <v>60</v>
      </c>
      <c r="T10" s="811">
        <f>'ANNEXURE I'!T8</f>
        <v>200</v>
      </c>
      <c r="U10" s="811">
        <f>'ANNEXURE I'!U8</f>
        <v>225</v>
      </c>
      <c r="V10" s="811">
        <f>'ANNEXURE I'!V8</f>
        <v>0</v>
      </c>
      <c r="W10" s="811">
        <f>'ANNEXURE I'!W8</f>
        <v>0</v>
      </c>
      <c r="X10" s="811">
        <f>'ANNEXURE I'!X8</f>
        <v>0</v>
      </c>
      <c r="Y10" s="811">
        <f>'ANNEXURE I'!Y8</f>
        <v>0</v>
      </c>
      <c r="Z10" s="75">
        <f t="shared" si="1"/>
        <v>10406</v>
      </c>
      <c r="AA10" s="75">
        <f t="shared" si="2"/>
        <v>69510</v>
      </c>
      <c r="AB10" s="403">
        <f>KEY!X6</f>
        <v>0.1</v>
      </c>
      <c r="AC10" s="404">
        <f>KEY!W6</f>
        <v>0.3367</v>
      </c>
      <c r="AD10" s="812"/>
      <c r="AE10" s="23"/>
      <c r="AF10" s="21"/>
    </row>
    <row r="11" spans="2:32" ht="18.95" customHeight="1" x14ac:dyDescent="0.25">
      <c r="B11" s="551">
        <f>DATA!G7</f>
        <v>45839</v>
      </c>
      <c r="C11" s="811">
        <f>'ANNEXURE I'!C9</f>
        <v>55520</v>
      </c>
      <c r="D11" s="811">
        <f>'ANNEXURE I'!D9</f>
        <v>18694</v>
      </c>
      <c r="E11" s="811">
        <f>'ANNEXURE I'!E9</f>
        <v>5552</v>
      </c>
      <c r="F11" s="811">
        <f>'ANNEXURE I'!F9</f>
        <v>0</v>
      </c>
      <c r="G11" s="811">
        <f>'ANNEXURE I'!G9</f>
        <v>150</v>
      </c>
      <c r="H11" s="811">
        <f>'ANNEXURE I'!H9</f>
        <v>0</v>
      </c>
      <c r="I11" s="811">
        <f>'ANNEXURE I'!I9</f>
        <v>0</v>
      </c>
      <c r="J11" s="811">
        <f>'ANNEXURE I'!J9</f>
        <v>0</v>
      </c>
      <c r="K11" s="811">
        <f>'ANNEXURE I'!K9</f>
        <v>0</v>
      </c>
      <c r="L11" s="811">
        <f>'ANNEXURE I'!L9</f>
        <v>0</v>
      </c>
      <c r="M11" s="811">
        <f>'ANNEXURE I'!M9</f>
        <v>0</v>
      </c>
      <c r="N11" s="811">
        <f>'ANNEXURE I'!N9</f>
        <v>0</v>
      </c>
      <c r="O11" s="811">
        <f>'ANNEXURE I'!O9</f>
        <v>0</v>
      </c>
      <c r="P11" s="76">
        <f t="shared" si="0"/>
        <v>79916</v>
      </c>
      <c r="Q11" s="811">
        <f>'ANNEXURE I'!Q9</f>
        <v>7421</v>
      </c>
      <c r="R11" s="811">
        <f>'ANNEXURE I'!R9</f>
        <v>2500</v>
      </c>
      <c r="S11" s="811">
        <f>'ANNEXURE I'!S9</f>
        <v>60</v>
      </c>
      <c r="T11" s="811">
        <f>'ANNEXURE I'!T9</f>
        <v>200</v>
      </c>
      <c r="U11" s="811">
        <f>'ANNEXURE I'!U9</f>
        <v>225</v>
      </c>
      <c r="V11" s="811">
        <f>'ANNEXURE I'!V9</f>
        <v>0</v>
      </c>
      <c r="W11" s="811">
        <f>'ANNEXURE I'!W9</f>
        <v>0</v>
      </c>
      <c r="X11" s="811">
        <f>'ANNEXURE I'!X9</f>
        <v>0</v>
      </c>
      <c r="Y11" s="811">
        <f>'ANNEXURE I'!Y9</f>
        <v>0</v>
      </c>
      <c r="Z11" s="75">
        <f t="shared" si="1"/>
        <v>10406</v>
      </c>
      <c r="AA11" s="75">
        <f t="shared" si="2"/>
        <v>69510</v>
      </c>
      <c r="AB11" s="403">
        <f>KEY!X7</f>
        <v>0.1</v>
      </c>
      <c r="AC11" s="404">
        <f>KEY!W7</f>
        <v>0.3367</v>
      </c>
      <c r="AD11" s="812"/>
      <c r="AE11" s="23"/>
      <c r="AF11" s="21"/>
    </row>
    <row r="12" spans="2:32" ht="18.95" customHeight="1" x14ac:dyDescent="0.25">
      <c r="B12" s="551">
        <f>DATA!G8</f>
        <v>45870</v>
      </c>
      <c r="C12" s="811">
        <f>'ANNEXURE I'!C10</f>
        <v>55520</v>
      </c>
      <c r="D12" s="811">
        <f>'ANNEXURE I'!D10</f>
        <v>18694</v>
      </c>
      <c r="E12" s="811">
        <f>'ANNEXURE I'!E10</f>
        <v>5552</v>
      </c>
      <c r="F12" s="811">
        <f>'ANNEXURE I'!F10</f>
        <v>0</v>
      </c>
      <c r="G12" s="811">
        <f>'ANNEXURE I'!G10</f>
        <v>150</v>
      </c>
      <c r="H12" s="811">
        <f>'ANNEXURE I'!H10</f>
        <v>0</v>
      </c>
      <c r="I12" s="811">
        <f>'ANNEXURE I'!I10</f>
        <v>0</v>
      </c>
      <c r="J12" s="811">
        <f>'ANNEXURE I'!J10</f>
        <v>0</v>
      </c>
      <c r="K12" s="811">
        <f>'ANNEXURE I'!K10</f>
        <v>0</v>
      </c>
      <c r="L12" s="811">
        <f>'ANNEXURE I'!L10</f>
        <v>0</v>
      </c>
      <c r="M12" s="811">
        <f>'ANNEXURE I'!M10</f>
        <v>0</v>
      </c>
      <c r="N12" s="811">
        <f>'ANNEXURE I'!N10</f>
        <v>0</v>
      </c>
      <c r="O12" s="811">
        <f>'ANNEXURE I'!O10</f>
        <v>0</v>
      </c>
      <c r="P12" s="76">
        <f t="shared" si="0"/>
        <v>79916</v>
      </c>
      <c r="Q12" s="811">
        <f>'ANNEXURE I'!Q10</f>
        <v>7421</v>
      </c>
      <c r="R12" s="811">
        <f>'ANNEXURE I'!R10</f>
        <v>2500</v>
      </c>
      <c r="S12" s="811">
        <f>'ANNEXURE I'!S10</f>
        <v>60</v>
      </c>
      <c r="T12" s="811">
        <f>'ANNEXURE I'!T10</f>
        <v>200</v>
      </c>
      <c r="U12" s="811">
        <f>'ANNEXURE I'!U10</f>
        <v>225</v>
      </c>
      <c r="V12" s="811">
        <f>'ANNEXURE I'!V10</f>
        <v>0</v>
      </c>
      <c r="W12" s="811">
        <f>'ANNEXURE I'!W10</f>
        <v>0</v>
      </c>
      <c r="X12" s="811">
        <f>'ANNEXURE I'!X10</f>
        <v>0</v>
      </c>
      <c r="Y12" s="811">
        <f>'ANNEXURE I'!Y10</f>
        <v>0</v>
      </c>
      <c r="Z12" s="75">
        <f t="shared" si="1"/>
        <v>10406</v>
      </c>
      <c r="AA12" s="75">
        <f t="shared" si="2"/>
        <v>69510</v>
      </c>
      <c r="AB12" s="403">
        <f>KEY!X8</f>
        <v>0.1</v>
      </c>
      <c r="AC12" s="404">
        <f>KEY!W8</f>
        <v>0.3367</v>
      </c>
      <c r="AD12" s="812"/>
      <c r="AE12" s="23"/>
      <c r="AF12" s="21"/>
    </row>
    <row r="13" spans="2:32" ht="18.95" customHeight="1" x14ac:dyDescent="0.25">
      <c r="B13" s="551">
        <f>DATA!G9</f>
        <v>45901</v>
      </c>
      <c r="C13" s="811">
        <f>'ANNEXURE I'!C11</f>
        <v>55520</v>
      </c>
      <c r="D13" s="811">
        <f>'ANNEXURE I'!D11</f>
        <v>18694</v>
      </c>
      <c r="E13" s="811">
        <f>'ANNEXURE I'!E11</f>
        <v>5552</v>
      </c>
      <c r="F13" s="811">
        <f>'ANNEXURE I'!F11</f>
        <v>0</v>
      </c>
      <c r="G13" s="811">
        <f>'ANNEXURE I'!G11</f>
        <v>150</v>
      </c>
      <c r="H13" s="811">
        <f>'ANNEXURE I'!H11</f>
        <v>0</v>
      </c>
      <c r="I13" s="811">
        <f>'ANNEXURE I'!I11</f>
        <v>0</v>
      </c>
      <c r="J13" s="811">
        <f>'ANNEXURE I'!J11</f>
        <v>0</v>
      </c>
      <c r="K13" s="811">
        <f>'ANNEXURE I'!K11</f>
        <v>0</v>
      </c>
      <c r="L13" s="811">
        <f>'ANNEXURE I'!L11</f>
        <v>0</v>
      </c>
      <c r="M13" s="811">
        <f>'ANNEXURE I'!M11</f>
        <v>0</v>
      </c>
      <c r="N13" s="811">
        <f>'ANNEXURE I'!N11</f>
        <v>0</v>
      </c>
      <c r="O13" s="811">
        <f>'ANNEXURE I'!O11</f>
        <v>0</v>
      </c>
      <c r="P13" s="76">
        <f t="shared" si="0"/>
        <v>79916</v>
      </c>
      <c r="Q13" s="811">
        <f>'ANNEXURE I'!Q11</f>
        <v>7421</v>
      </c>
      <c r="R13" s="811">
        <f>'ANNEXURE I'!R11</f>
        <v>2500</v>
      </c>
      <c r="S13" s="811">
        <f>'ANNEXURE I'!S11</f>
        <v>60</v>
      </c>
      <c r="T13" s="811">
        <f>'ANNEXURE I'!T11</f>
        <v>200</v>
      </c>
      <c r="U13" s="811">
        <f>'ANNEXURE I'!U11</f>
        <v>225</v>
      </c>
      <c r="V13" s="811">
        <f>'ANNEXURE I'!V11</f>
        <v>0</v>
      </c>
      <c r="W13" s="811">
        <f>'ANNEXURE I'!W11</f>
        <v>0</v>
      </c>
      <c r="X13" s="811">
        <f>'ANNEXURE I'!X11</f>
        <v>0</v>
      </c>
      <c r="Y13" s="811">
        <f>'ANNEXURE I'!Y11</f>
        <v>0</v>
      </c>
      <c r="Z13" s="75">
        <f t="shared" si="1"/>
        <v>10406</v>
      </c>
      <c r="AA13" s="75">
        <f t="shared" si="2"/>
        <v>69510</v>
      </c>
      <c r="AB13" s="403">
        <f>KEY!X9</f>
        <v>0.1</v>
      </c>
      <c r="AC13" s="404">
        <f>KEY!W9</f>
        <v>0.3367</v>
      </c>
      <c r="AD13" s="804"/>
      <c r="AE13" s="23"/>
      <c r="AF13" s="21"/>
    </row>
    <row r="14" spans="2:32" ht="18.95" customHeight="1" x14ac:dyDescent="0.25">
      <c r="B14" s="551">
        <f>DATA!G10</f>
        <v>45931</v>
      </c>
      <c r="C14" s="811">
        <f>'ANNEXURE I'!C12</f>
        <v>55520</v>
      </c>
      <c r="D14" s="811">
        <f>'ANNEXURE I'!D12</f>
        <v>20715</v>
      </c>
      <c r="E14" s="811">
        <f>'ANNEXURE I'!E12</f>
        <v>5552</v>
      </c>
      <c r="F14" s="811">
        <f>'ANNEXURE I'!F12</f>
        <v>0</v>
      </c>
      <c r="G14" s="811">
        <f>'ANNEXURE I'!G12</f>
        <v>150</v>
      </c>
      <c r="H14" s="811">
        <f>'ANNEXURE I'!H12</f>
        <v>0</v>
      </c>
      <c r="I14" s="811">
        <f>'ANNEXURE I'!I12</f>
        <v>0</v>
      </c>
      <c r="J14" s="811">
        <f>'ANNEXURE I'!J12</f>
        <v>0</v>
      </c>
      <c r="K14" s="811">
        <f>'ANNEXURE I'!K12</f>
        <v>0</v>
      </c>
      <c r="L14" s="811">
        <f>'ANNEXURE I'!L12</f>
        <v>0</v>
      </c>
      <c r="M14" s="811">
        <f>'ANNEXURE I'!M12</f>
        <v>0</v>
      </c>
      <c r="N14" s="811">
        <f>'ANNEXURE I'!N12</f>
        <v>0</v>
      </c>
      <c r="O14" s="811">
        <f>'ANNEXURE I'!O12</f>
        <v>0</v>
      </c>
      <c r="P14" s="76">
        <f t="shared" si="0"/>
        <v>81937</v>
      </c>
      <c r="Q14" s="811">
        <f>'ANNEXURE I'!Q12</f>
        <v>7624</v>
      </c>
      <c r="R14" s="811">
        <f>'ANNEXURE I'!R12</f>
        <v>2500</v>
      </c>
      <c r="S14" s="811">
        <f>'ANNEXURE I'!S12</f>
        <v>60</v>
      </c>
      <c r="T14" s="811">
        <f>'ANNEXURE I'!T12</f>
        <v>200</v>
      </c>
      <c r="U14" s="811">
        <f>'ANNEXURE I'!U12</f>
        <v>225</v>
      </c>
      <c r="V14" s="811">
        <f>'ANNEXURE I'!V12</f>
        <v>0</v>
      </c>
      <c r="W14" s="811">
        <f>'ANNEXURE I'!W12</f>
        <v>0</v>
      </c>
      <c r="X14" s="811">
        <f>'ANNEXURE I'!X12</f>
        <v>0</v>
      </c>
      <c r="Y14" s="811">
        <f>'ANNEXURE I'!Y12</f>
        <v>0</v>
      </c>
      <c r="Z14" s="75">
        <f t="shared" si="1"/>
        <v>10609</v>
      </c>
      <c r="AA14" s="75">
        <f t="shared" si="2"/>
        <v>71328</v>
      </c>
      <c r="AB14" s="403">
        <f>KEY!X10</f>
        <v>0.1</v>
      </c>
      <c r="AC14" s="404">
        <f>KEY!W10</f>
        <v>0.37309999999999999</v>
      </c>
      <c r="AD14" s="804"/>
      <c r="AE14" s="23"/>
      <c r="AF14" s="21"/>
    </row>
    <row r="15" spans="2:32" ht="18.95" customHeight="1" x14ac:dyDescent="0.25">
      <c r="B15" s="551">
        <f>DATA!G11</f>
        <v>45962</v>
      </c>
      <c r="C15" s="811">
        <f>'ANNEXURE I'!C13</f>
        <v>57100</v>
      </c>
      <c r="D15" s="811">
        <f>'ANNEXURE I'!D13</f>
        <v>21304</v>
      </c>
      <c r="E15" s="811">
        <f>'ANNEXURE I'!E13</f>
        <v>5710</v>
      </c>
      <c r="F15" s="811">
        <f>'ANNEXURE I'!F13</f>
        <v>0</v>
      </c>
      <c r="G15" s="811">
        <f>'ANNEXURE I'!G13</f>
        <v>150</v>
      </c>
      <c r="H15" s="811">
        <f>'ANNEXURE I'!H13</f>
        <v>0</v>
      </c>
      <c r="I15" s="811">
        <f>'ANNEXURE I'!I13</f>
        <v>0</v>
      </c>
      <c r="J15" s="811">
        <f>'ANNEXURE I'!J13</f>
        <v>0</v>
      </c>
      <c r="K15" s="811">
        <f>'ANNEXURE I'!K13</f>
        <v>0</v>
      </c>
      <c r="L15" s="811">
        <f>'ANNEXURE I'!L13</f>
        <v>0</v>
      </c>
      <c r="M15" s="811">
        <f>'ANNEXURE I'!M13</f>
        <v>0</v>
      </c>
      <c r="N15" s="811">
        <f>'ANNEXURE I'!N13</f>
        <v>0</v>
      </c>
      <c r="O15" s="811">
        <f>'ANNEXURE I'!O13</f>
        <v>0</v>
      </c>
      <c r="P15" s="76">
        <f t="shared" si="0"/>
        <v>84264</v>
      </c>
      <c r="Q15" s="811">
        <f>'ANNEXURE I'!Q13</f>
        <v>7840</v>
      </c>
      <c r="R15" s="811">
        <f>'ANNEXURE I'!R13</f>
        <v>2500</v>
      </c>
      <c r="S15" s="811">
        <f>'ANNEXURE I'!S13</f>
        <v>60</v>
      </c>
      <c r="T15" s="811">
        <f>'ANNEXURE I'!T13</f>
        <v>200</v>
      </c>
      <c r="U15" s="811">
        <f>'ANNEXURE I'!U13</f>
        <v>225</v>
      </c>
      <c r="V15" s="811">
        <f>'ANNEXURE I'!V13</f>
        <v>0</v>
      </c>
      <c r="W15" s="811">
        <f>'ANNEXURE I'!W13</f>
        <v>0</v>
      </c>
      <c r="X15" s="811">
        <f>'ANNEXURE I'!X13</f>
        <v>0</v>
      </c>
      <c r="Y15" s="811">
        <f>'ANNEXURE I'!Y13</f>
        <v>0</v>
      </c>
      <c r="Z15" s="75">
        <f t="shared" si="1"/>
        <v>10825</v>
      </c>
      <c r="AA15" s="75">
        <f t="shared" si="2"/>
        <v>73439</v>
      </c>
      <c r="AB15" s="403">
        <f>KEY!X11</f>
        <v>0.1</v>
      </c>
      <c r="AC15" s="404">
        <f>KEY!W11</f>
        <v>0.37309999999999999</v>
      </c>
      <c r="AD15" s="804"/>
      <c r="AE15" s="23"/>
      <c r="AF15" s="21"/>
    </row>
    <row r="16" spans="2:32" ht="18.95" customHeight="1" x14ac:dyDescent="0.25">
      <c r="B16" s="551">
        <f>DATA!G12</f>
        <v>45992</v>
      </c>
      <c r="C16" s="811">
        <f>'ANNEXURE I'!C14</f>
        <v>57100</v>
      </c>
      <c r="D16" s="811">
        <f>'ANNEXURE I'!D14</f>
        <v>21304</v>
      </c>
      <c r="E16" s="811">
        <f>'ANNEXURE I'!E14</f>
        <v>5710</v>
      </c>
      <c r="F16" s="811">
        <f>'ANNEXURE I'!F14</f>
        <v>0</v>
      </c>
      <c r="G16" s="811">
        <f>'ANNEXURE I'!G14</f>
        <v>150</v>
      </c>
      <c r="H16" s="811">
        <f>'ANNEXURE I'!H14</f>
        <v>0</v>
      </c>
      <c r="I16" s="811">
        <f>'ANNEXURE I'!I14</f>
        <v>0</v>
      </c>
      <c r="J16" s="811">
        <f>'ANNEXURE I'!J14</f>
        <v>0</v>
      </c>
      <c r="K16" s="811">
        <f>'ANNEXURE I'!K14</f>
        <v>0</v>
      </c>
      <c r="L16" s="811">
        <f>'ANNEXURE I'!L14</f>
        <v>0</v>
      </c>
      <c r="M16" s="811">
        <f>'ANNEXURE I'!M14</f>
        <v>0</v>
      </c>
      <c r="N16" s="811">
        <f>'ANNEXURE I'!N14</f>
        <v>0</v>
      </c>
      <c r="O16" s="811">
        <f>'ANNEXURE I'!O14</f>
        <v>0</v>
      </c>
      <c r="P16" s="76">
        <f t="shared" si="0"/>
        <v>84264</v>
      </c>
      <c r="Q16" s="811">
        <f>'ANNEXURE I'!Q14</f>
        <v>7840</v>
      </c>
      <c r="R16" s="811">
        <f>'ANNEXURE I'!R14</f>
        <v>2500</v>
      </c>
      <c r="S16" s="811">
        <f>'ANNEXURE I'!S14</f>
        <v>60</v>
      </c>
      <c r="T16" s="811">
        <f>'ANNEXURE I'!T14</f>
        <v>200</v>
      </c>
      <c r="U16" s="811">
        <f>'ANNEXURE I'!U14</f>
        <v>225</v>
      </c>
      <c r="V16" s="811">
        <f>'ANNEXURE I'!V14</f>
        <v>100</v>
      </c>
      <c r="W16" s="811">
        <f>'ANNEXURE I'!W14</f>
        <v>0</v>
      </c>
      <c r="X16" s="811">
        <f>'ANNEXURE I'!X14</f>
        <v>0</v>
      </c>
      <c r="Y16" s="811">
        <f>'ANNEXURE I'!Y14</f>
        <v>0</v>
      </c>
      <c r="Z16" s="75">
        <f t="shared" si="1"/>
        <v>10925</v>
      </c>
      <c r="AA16" s="75">
        <f t="shared" si="2"/>
        <v>73339</v>
      </c>
      <c r="AB16" s="403">
        <f>KEY!X12</f>
        <v>0.1</v>
      </c>
      <c r="AC16" s="404">
        <f>KEY!W12</f>
        <v>0.37309999999999999</v>
      </c>
      <c r="AD16" s="804"/>
      <c r="AE16" s="23"/>
      <c r="AF16" s="21"/>
    </row>
    <row r="17" spans="2:32" ht="18.95" customHeight="1" x14ac:dyDescent="0.25">
      <c r="B17" s="551">
        <f>DATA!G13</f>
        <v>46023</v>
      </c>
      <c r="C17" s="811">
        <f>'ANNEXURE I'!C15</f>
        <v>57100</v>
      </c>
      <c r="D17" s="811">
        <f>'ANNEXURE I'!D15</f>
        <v>21304</v>
      </c>
      <c r="E17" s="811">
        <f>'ANNEXURE I'!E15</f>
        <v>5710</v>
      </c>
      <c r="F17" s="811">
        <f>'ANNEXURE I'!F15</f>
        <v>0</v>
      </c>
      <c r="G17" s="811">
        <f>'ANNEXURE I'!G15</f>
        <v>150</v>
      </c>
      <c r="H17" s="811">
        <f>'ANNEXURE I'!H15</f>
        <v>0</v>
      </c>
      <c r="I17" s="811">
        <f>'ANNEXURE I'!I15</f>
        <v>0</v>
      </c>
      <c r="J17" s="811">
        <f>'ANNEXURE I'!J15</f>
        <v>0</v>
      </c>
      <c r="K17" s="811">
        <f>'ANNEXURE I'!K15</f>
        <v>0</v>
      </c>
      <c r="L17" s="811">
        <f>'ANNEXURE I'!L15</f>
        <v>0</v>
      </c>
      <c r="M17" s="811">
        <f>'ANNEXURE I'!M15</f>
        <v>0</v>
      </c>
      <c r="N17" s="811">
        <f>'ANNEXURE I'!N15</f>
        <v>0</v>
      </c>
      <c r="O17" s="811">
        <f>'ANNEXURE I'!O15</f>
        <v>0</v>
      </c>
      <c r="P17" s="76">
        <f t="shared" si="0"/>
        <v>84264</v>
      </c>
      <c r="Q17" s="811">
        <f>'ANNEXURE I'!Q15</f>
        <v>7840</v>
      </c>
      <c r="R17" s="811">
        <f>'ANNEXURE I'!R15</f>
        <v>2500</v>
      </c>
      <c r="S17" s="811">
        <f>'ANNEXURE I'!S15</f>
        <v>60</v>
      </c>
      <c r="T17" s="811">
        <f>'ANNEXURE I'!T15</f>
        <v>200</v>
      </c>
      <c r="U17" s="811">
        <f>'ANNEXURE I'!U15</f>
        <v>225</v>
      </c>
      <c r="V17" s="811">
        <f>'ANNEXURE I'!V15</f>
        <v>0</v>
      </c>
      <c r="W17" s="811">
        <f>'ANNEXURE I'!W15</f>
        <v>0</v>
      </c>
      <c r="X17" s="811">
        <f>'ANNEXURE I'!X15</f>
        <v>0</v>
      </c>
      <c r="Y17" s="993">
        <f>'ANNEXURE I'!Y15</f>
        <v>0</v>
      </c>
      <c r="Z17" s="75">
        <f t="shared" si="1"/>
        <v>10825</v>
      </c>
      <c r="AA17" s="75">
        <f t="shared" si="2"/>
        <v>73439</v>
      </c>
      <c r="AB17" s="403">
        <f>KEY!X13</f>
        <v>0.1</v>
      </c>
      <c r="AC17" s="404">
        <f>KEY!W13</f>
        <v>0.37309999999999999</v>
      </c>
      <c r="AD17" s="804"/>
      <c r="AE17" s="23"/>
      <c r="AF17" s="21"/>
    </row>
    <row r="18" spans="2:32" ht="18.95" customHeight="1" x14ac:dyDescent="0.25">
      <c r="B18" s="551">
        <f>DATA!G14</f>
        <v>46054</v>
      </c>
      <c r="C18" s="811">
        <f>'ANNEXURE I'!C16</f>
        <v>57100</v>
      </c>
      <c r="D18" s="811">
        <f>'ANNEXURE I'!D16</f>
        <v>21304</v>
      </c>
      <c r="E18" s="811">
        <f>'ANNEXURE I'!E16</f>
        <v>5710</v>
      </c>
      <c r="F18" s="811">
        <f>'ANNEXURE I'!F16</f>
        <v>0</v>
      </c>
      <c r="G18" s="811">
        <f>'ANNEXURE I'!G16</f>
        <v>150</v>
      </c>
      <c r="H18" s="811">
        <f>'ANNEXURE I'!H16</f>
        <v>0</v>
      </c>
      <c r="I18" s="811">
        <f>'ANNEXURE I'!I16</f>
        <v>0</v>
      </c>
      <c r="J18" s="811">
        <f>'ANNEXURE I'!J16</f>
        <v>0</v>
      </c>
      <c r="K18" s="811">
        <f>'ANNEXURE I'!K16</f>
        <v>0</v>
      </c>
      <c r="L18" s="811">
        <f>'ANNEXURE I'!L16</f>
        <v>0</v>
      </c>
      <c r="M18" s="811">
        <f>'ANNEXURE I'!M16</f>
        <v>0</v>
      </c>
      <c r="N18" s="811">
        <f>'ANNEXURE I'!N16</f>
        <v>0</v>
      </c>
      <c r="O18" s="811">
        <f>'ANNEXURE I'!O16</f>
        <v>0</v>
      </c>
      <c r="P18" s="76">
        <f t="shared" si="0"/>
        <v>84264</v>
      </c>
      <c r="Q18" s="811">
        <f>'ANNEXURE I'!Q16</f>
        <v>7840</v>
      </c>
      <c r="R18" s="811">
        <f>'ANNEXURE I'!R16</f>
        <v>2500</v>
      </c>
      <c r="S18" s="811">
        <f>'ANNEXURE I'!S16</f>
        <v>60</v>
      </c>
      <c r="T18" s="811">
        <f>'ANNEXURE I'!T16</f>
        <v>200</v>
      </c>
      <c r="U18" s="811">
        <f>'ANNEXURE I'!U16</f>
        <v>225</v>
      </c>
      <c r="V18" s="811">
        <f>'ANNEXURE I'!V16</f>
        <v>0</v>
      </c>
      <c r="W18" s="811">
        <f>'ANNEXURE I'!W16</f>
        <v>0</v>
      </c>
      <c r="X18" s="811">
        <f>'ANNEXURE I'!X16</f>
        <v>0</v>
      </c>
      <c r="Y18" s="993">
        <f>'ANNEXURE I'!Y16</f>
        <v>0</v>
      </c>
      <c r="Z18" s="75">
        <f t="shared" si="1"/>
        <v>10825</v>
      </c>
      <c r="AA18" s="75">
        <f t="shared" si="2"/>
        <v>73439</v>
      </c>
      <c r="AB18" s="403">
        <f>KEY!X14</f>
        <v>0.1</v>
      </c>
      <c r="AC18" s="404">
        <f>KEY!W14</f>
        <v>0.37309999999999999</v>
      </c>
      <c r="AD18" s="804"/>
      <c r="AE18" s="23"/>
      <c r="AF18" s="21"/>
    </row>
    <row r="19" spans="2:32" ht="18.95" customHeight="1" x14ac:dyDescent="0.25">
      <c r="B19" s="539" t="s">
        <v>167</v>
      </c>
      <c r="C19" s="991">
        <f>'ANNEXURE I'!C17</f>
        <v>0</v>
      </c>
      <c r="D19" s="991">
        <f>'ANNEXURE I'!D17</f>
        <v>0</v>
      </c>
      <c r="E19" s="991">
        <f>'ANNEXURE I'!E17</f>
        <v>0</v>
      </c>
      <c r="F19" s="991">
        <f>'ANNEXURE I'!F17</f>
        <v>0</v>
      </c>
      <c r="G19" s="992">
        <f>'ANNEXURE I'!G17</f>
        <v>0</v>
      </c>
      <c r="H19" s="992">
        <f>'ANNEXURE I'!H17</f>
        <v>0</v>
      </c>
      <c r="I19" s="992">
        <f>'ANNEXURE I'!I17</f>
        <v>0</v>
      </c>
      <c r="J19" s="992">
        <f>'ANNEXURE I'!J17</f>
        <v>0</v>
      </c>
      <c r="K19" s="992">
        <f>'ANNEXURE I'!K17</f>
        <v>0</v>
      </c>
      <c r="L19" s="992">
        <f>'ANNEXURE I'!L17</f>
        <v>0</v>
      </c>
      <c r="M19" s="992">
        <f>'ANNEXURE I'!M17</f>
        <v>0</v>
      </c>
      <c r="N19" s="992">
        <f>'ANNEXURE I'!N17</f>
        <v>0</v>
      </c>
      <c r="O19" s="992">
        <f>'ANNEXURE I'!O17</f>
        <v>0</v>
      </c>
      <c r="P19" s="76">
        <f t="shared" si="0"/>
        <v>0</v>
      </c>
      <c r="Q19" s="991">
        <f>'ANNEXURE I'!Q17</f>
        <v>0</v>
      </c>
      <c r="R19" s="991">
        <f>'ANNEXURE I'!R17</f>
        <v>0</v>
      </c>
      <c r="S19" s="992">
        <f>'ANNEXURE I'!S17</f>
        <v>0</v>
      </c>
      <c r="T19" s="992">
        <f>'ANNEXURE I'!T17</f>
        <v>0</v>
      </c>
      <c r="U19" s="992">
        <f>'ANNEXURE I'!U17</f>
        <v>0</v>
      </c>
      <c r="V19" s="992">
        <f>'ANNEXURE I'!V17</f>
        <v>0</v>
      </c>
      <c r="W19" s="992">
        <f>'ANNEXURE I'!W17</f>
        <v>0</v>
      </c>
      <c r="X19" s="992">
        <f>'ANNEXURE I'!X17</f>
        <v>0</v>
      </c>
      <c r="Y19" s="993">
        <f>'ANNEXURE I'!Y17</f>
        <v>0</v>
      </c>
      <c r="Z19" s="75">
        <f t="shared" ref="Z19:Z27" si="3">SUM(Q19:Y19)</f>
        <v>0</v>
      </c>
      <c r="AA19" s="75">
        <f t="shared" si="2"/>
        <v>0</v>
      </c>
      <c r="AB19" s="403">
        <f>IFERROR(IF(VALUE(DATA!D13)&gt;=VALUE('A1(Editabe)'!B7),LOOKUP(KEY!W44,KEY!T3:T14,KEY!X3:X14),0),0)</f>
        <v>0</v>
      </c>
      <c r="AC19" s="404">
        <f>IFERROR(IF(VALUE(DATA!D13)&gt;=VALUE('A1(Editabe)'!B7),LOOKUP(KEY!W44,KEY!T3:T14,KEY!W3:W14),0),0)</f>
        <v>0</v>
      </c>
      <c r="AD19" s="804"/>
    </row>
    <row r="20" spans="2:32" ht="18.95" customHeight="1" x14ac:dyDescent="0.25">
      <c r="B20" s="540" t="s">
        <v>168</v>
      </c>
      <c r="C20" s="991">
        <f>'ANNEXURE I'!C18</f>
        <v>0</v>
      </c>
      <c r="D20" s="991">
        <f>'ANNEXURE I'!D18</f>
        <v>0</v>
      </c>
      <c r="E20" s="991">
        <f>'ANNEXURE I'!E18</f>
        <v>0</v>
      </c>
      <c r="F20" s="991">
        <f>'ANNEXURE I'!F18</f>
        <v>0</v>
      </c>
      <c r="G20" s="992">
        <f>'ANNEXURE I'!G18</f>
        <v>0</v>
      </c>
      <c r="H20" s="992">
        <f>'ANNEXURE I'!H18</f>
        <v>0</v>
      </c>
      <c r="I20" s="992">
        <f>'ANNEXURE I'!I18</f>
        <v>0</v>
      </c>
      <c r="J20" s="992">
        <f>'ANNEXURE I'!J18</f>
        <v>0</v>
      </c>
      <c r="K20" s="992">
        <f>'ANNEXURE I'!K18</f>
        <v>0</v>
      </c>
      <c r="L20" s="992">
        <f>'ANNEXURE I'!L18</f>
        <v>0</v>
      </c>
      <c r="M20" s="992">
        <f>'ANNEXURE I'!M18</f>
        <v>0</v>
      </c>
      <c r="N20" s="992">
        <f>'ANNEXURE I'!N18</f>
        <v>0</v>
      </c>
      <c r="O20" s="992">
        <f>'ANNEXURE I'!O18</f>
        <v>0</v>
      </c>
      <c r="P20" s="76">
        <f>SUM(C20:O20)</f>
        <v>0</v>
      </c>
      <c r="Q20" s="991">
        <f>'ANNEXURE I'!Q18</f>
        <v>0</v>
      </c>
      <c r="R20" s="991">
        <f>'ANNEXURE I'!R18</f>
        <v>0</v>
      </c>
      <c r="S20" s="992">
        <f>'ANNEXURE I'!S18</f>
        <v>0</v>
      </c>
      <c r="T20" s="992">
        <f>'ANNEXURE I'!T18</f>
        <v>0</v>
      </c>
      <c r="U20" s="992">
        <f>'ANNEXURE I'!U18</f>
        <v>0</v>
      </c>
      <c r="V20" s="992">
        <f>'ANNEXURE I'!V18</f>
        <v>0</v>
      </c>
      <c r="W20" s="992">
        <f>'ANNEXURE I'!W18</f>
        <v>0</v>
      </c>
      <c r="X20" s="992">
        <f>'ANNEXURE I'!X18</f>
        <v>0</v>
      </c>
      <c r="Y20" s="993">
        <f>'ANNEXURE I'!Y18</f>
        <v>0</v>
      </c>
      <c r="Z20" s="75">
        <f t="shared" si="3"/>
        <v>0</v>
      </c>
      <c r="AA20" s="75">
        <f t="shared" si="2"/>
        <v>0</v>
      </c>
      <c r="AB20" s="403">
        <f>IF(DATA!D12="",0,IF(DATA!D12="N.A.",0,IF(AND(VALUE(DATA!D12)&gt;=VALUE(B7),VALUE(DATA!D12)&lt;=VALUE(B18)),KEY!T54,0)))</f>
        <v>0</v>
      </c>
      <c r="AC20" s="404">
        <f>IF(DATA!D12="",0,IF(DATA!D12="N.A.",0,IF(AND(VALUE(DATA!D12)&gt;=VALUE(B7),VALUE(DATA!D12)&lt;=VALUE(B18)),KEY!T53,0)))</f>
        <v>0</v>
      </c>
      <c r="AD20" s="804"/>
    </row>
    <row r="21" spans="2:32" ht="18.95" customHeight="1" x14ac:dyDescent="0.25">
      <c r="B21" s="541" t="s">
        <v>169</v>
      </c>
      <c r="C21" s="991">
        <f>'ANNEXURE I'!C19</f>
        <v>0</v>
      </c>
      <c r="D21" s="991">
        <f>'ANNEXURE I'!D19</f>
        <v>0</v>
      </c>
      <c r="E21" s="991">
        <f>'ANNEXURE I'!E19</f>
        <v>0</v>
      </c>
      <c r="F21" s="991">
        <f>'ANNEXURE I'!F19</f>
        <v>0</v>
      </c>
      <c r="G21" s="992">
        <f>'ANNEXURE I'!G19</f>
        <v>0</v>
      </c>
      <c r="H21" s="992">
        <f>'ANNEXURE I'!H19</f>
        <v>0</v>
      </c>
      <c r="I21" s="992">
        <f>'ANNEXURE I'!I19</f>
        <v>0</v>
      </c>
      <c r="J21" s="992">
        <f>'ANNEXURE I'!J19</f>
        <v>0</v>
      </c>
      <c r="K21" s="992">
        <f>'ANNEXURE I'!K19</f>
        <v>0</v>
      </c>
      <c r="L21" s="992">
        <f>'ANNEXURE I'!L19</f>
        <v>0</v>
      </c>
      <c r="M21" s="992">
        <f>'ANNEXURE I'!M19</f>
        <v>0</v>
      </c>
      <c r="N21" s="992">
        <f>'ANNEXURE I'!N19</f>
        <v>0</v>
      </c>
      <c r="O21" s="992">
        <f>'ANNEXURE I'!O19</f>
        <v>0</v>
      </c>
      <c r="P21" s="76">
        <f>DATA!Q20+DATA!Q19</f>
        <v>0</v>
      </c>
      <c r="Q21" s="991">
        <f>'ANNEXURE I'!Q19</f>
        <v>0</v>
      </c>
      <c r="R21" s="991">
        <f>'ANNEXURE I'!R19</f>
        <v>0</v>
      </c>
      <c r="S21" s="992">
        <f>'ANNEXURE I'!S19</f>
        <v>0</v>
      </c>
      <c r="T21" s="992">
        <f>'ANNEXURE I'!T19</f>
        <v>0</v>
      </c>
      <c r="U21" s="992">
        <f>'ANNEXURE I'!U19</f>
        <v>0</v>
      </c>
      <c r="V21" s="992">
        <f>'ANNEXURE I'!V19</f>
        <v>0</v>
      </c>
      <c r="W21" s="992">
        <f>'ANNEXURE I'!W19</f>
        <v>0</v>
      </c>
      <c r="X21" s="992">
        <f>'ANNEXURE I'!X19</f>
        <v>0</v>
      </c>
      <c r="Y21" s="993">
        <f>'ANNEXURE I'!Y19</f>
        <v>0</v>
      </c>
      <c r="Z21" s="75">
        <f t="shared" si="3"/>
        <v>0</v>
      </c>
      <c r="AA21" s="75">
        <f t="shared" si="2"/>
        <v>0</v>
      </c>
      <c r="AB21" s="1185" t="str">
        <f t="shared" ref="AB21:AB26" si="4">B21</f>
        <v>Tution Fees</v>
      </c>
      <c r="AC21" s="1186"/>
      <c r="AD21" s="804"/>
    </row>
    <row r="22" spans="2:32" ht="18.95" customHeight="1" x14ac:dyDescent="0.25">
      <c r="B22" s="540" t="s">
        <v>170</v>
      </c>
      <c r="C22" s="991">
        <f>'ANNEXURE I'!C20</f>
        <v>0</v>
      </c>
      <c r="D22" s="991">
        <f>'ANNEXURE I'!D20</f>
        <v>0</v>
      </c>
      <c r="E22" s="991">
        <f>'ANNEXURE I'!E20</f>
        <v>0</v>
      </c>
      <c r="F22" s="991">
        <f>'ANNEXURE I'!F20</f>
        <v>0</v>
      </c>
      <c r="G22" s="992">
        <f>'ANNEXURE I'!G20</f>
        <v>0</v>
      </c>
      <c r="H22" s="992">
        <f>'ANNEXURE I'!H20</f>
        <v>0</v>
      </c>
      <c r="I22" s="992">
        <f>'ANNEXURE I'!I20</f>
        <v>0</v>
      </c>
      <c r="J22" s="992">
        <f>'ANNEXURE I'!J20</f>
        <v>0</v>
      </c>
      <c r="K22" s="992">
        <f>'ANNEXURE I'!K20</f>
        <v>0</v>
      </c>
      <c r="L22" s="992">
        <f>'ANNEXURE I'!L20</f>
        <v>0</v>
      </c>
      <c r="M22" s="992">
        <f>'ANNEXURE I'!M20</f>
        <v>0</v>
      </c>
      <c r="N22" s="992">
        <f>'ANNEXURE I'!N20</f>
        <v>0</v>
      </c>
      <c r="O22" s="992">
        <f>'ANNEXURE I'!O20</f>
        <v>0</v>
      </c>
      <c r="P22" s="76">
        <f t="shared" ref="P22:P26" si="5">SUM(C22:O22)</f>
        <v>0</v>
      </c>
      <c r="Q22" s="991">
        <f>'ANNEXURE I'!Q20</f>
        <v>0</v>
      </c>
      <c r="R22" s="991">
        <f>'ANNEXURE I'!R20</f>
        <v>0</v>
      </c>
      <c r="S22" s="992">
        <f>'ANNEXURE I'!S20</f>
        <v>0</v>
      </c>
      <c r="T22" s="992">
        <f>'ANNEXURE I'!T20</f>
        <v>0</v>
      </c>
      <c r="U22" s="992">
        <f>'ANNEXURE I'!U20</f>
        <v>0</v>
      </c>
      <c r="V22" s="992">
        <f>'ANNEXURE I'!V20</f>
        <v>0</v>
      </c>
      <c r="W22" s="992">
        <f>'ANNEXURE I'!W20</f>
        <v>0</v>
      </c>
      <c r="X22" s="992">
        <f>'ANNEXURE I'!X20</f>
        <v>0</v>
      </c>
      <c r="Y22" s="993">
        <f>'ANNEXURE I'!Y20</f>
        <v>0</v>
      </c>
      <c r="Z22" s="75">
        <f t="shared" si="3"/>
        <v>0</v>
      </c>
      <c r="AA22" s="75">
        <f t="shared" si="2"/>
        <v>0</v>
      </c>
      <c r="AB22" s="1185" t="str">
        <f t="shared" si="4"/>
        <v>DA Arrs 1</v>
      </c>
      <c r="AC22" s="1186"/>
      <c r="AD22" s="804"/>
    </row>
    <row r="23" spans="2:32" ht="18.75" customHeight="1" x14ac:dyDescent="0.25">
      <c r="B23" s="540" t="s">
        <v>171</v>
      </c>
      <c r="C23" s="991">
        <f>'ANNEXURE I'!C21</f>
        <v>0</v>
      </c>
      <c r="D23" s="991">
        <f>'ANNEXURE I'!D21</f>
        <v>0</v>
      </c>
      <c r="E23" s="991">
        <f>'ANNEXURE I'!E21</f>
        <v>0</v>
      </c>
      <c r="F23" s="991">
        <f>'ANNEXURE I'!F21</f>
        <v>0</v>
      </c>
      <c r="G23" s="992">
        <f>'ANNEXURE I'!G21</f>
        <v>0</v>
      </c>
      <c r="H23" s="992">
        <f>'ANNEXURE I'!H21</f>
        <v>0</v>
      </c>
      <c r="I23" s="992">
        <f>'ANNEXURE I'!I21</f>
        <v>0</v>
      </c>
      <c r="J23" s="992">
        <f>'ANNEXURE I'!J21</f>
        <v>0</v>
      </c>
      <c r="K23" s="992">
        <f>'ANNEXURE I'!K21</f>
        <v>0</v>
      </c>
      <c r="L23" s="992">
        <f>'ANNEXURE I'!L21</f>
        <v>0</v>
      </c>
      <c r="M23" s="992">
        <f>'ANNEXURE I'!M21</f>
        <v>0</v>
      </c>
      <c r="N23" s="992">
        <f>'ANNEXURE I'!N21</f>
        <v>0</v>
      </c>
      <c r="O23" s="992">
        <f>'ANNEXURE I'!O21</f>
        <v>0</v>
      </c>
      <c r="P23" s="76">
        <f t="shared" si="5"/>
        <v>0</v>
      </c>
      <c r="Q23" s="991">
        <f>'ANNEXURE I'!Q21</f>
        <v>0</v>
      </c>
      <c r="R23" s="991">
        <f>'ANNEXURE I'!R21</f>
        <v>0</v>
      </c>
      <c r="S23" s="992">
        <f>'ANNEXURE I'!S21</f>
        <v>0</v>
      </c>
      <c r="T23" s="992">
        <f>'ANNEXURE I'!T21</f>
        <v>0</v>
      </c>
      <c r="U23" s="992">
        <f>'ANNEXURE I'!U21</f>
        <v>0</v>
      </c>
      <c r="V23" s="992">
        <f>'ANNEXURE I'!V21</f>
        <v>0</v>
      </c>
      <c r="W23" s="992">
        <f>'ANNEXURE I'!W21</f>
        <v>0</v>
      </c>
      <c r="X23" s="992">
        <f>'ANNEXURE I'!X21</f>
        <v>0</v>
      </c>
      <c r="Y23" s="993">
        <f>'ANNEXURE I'!Y21</f>
        <v>0</v>
      </c>
      <c r="Z23" s="75">
        <f t="shared" si="3"/>
        <v>0</v>
      </c>
      <c r="AA23" s="75">
        <f t="shared" si="2"/>
        <v>0</v>
      </c>
      <c r="AB23" s="1185" t="str">
        <f t="shared" si="4"/>
        <v>DA Arrs 2</v>
      </c>
      <c r="AC23" s="1186"/>
      <c r="AD23" s="804"/>
    </row>
    <row r="24" spans="2:32" ht="18.95" customHeight="1" x14ac:dyDescent="0.25">
      <c r="B24" s="540" t="s">
        <v>172</v>
      </c>
      <c r="C24" s="991">
        <f>'ANNEXURE I'!C22</f>
        <v>0</v>
      </c>
      <c r="D24" s="991">
        <f>'ANNEXURE I'!D22</f>
        <v>0</v>
      </c>
      <c r="E24" s="991">
        <f>'ANNEXURE I'!E22</f>
        <v>0</v>
      </c>
      <c r="F24" s="991">
        <f>'ANNEXURE I'!F22</f>
        <v>0</v>
      </c>
      <c r="G24" s="992">
        <f>'ANNEXURE I'!G22</f>
        <v>0</v>
      </c>
      <c r="H24" s="992">
        <f>'ANNEXURE I'!H22</f>
        <v>0</v>
      </c>
      <c r="I24" s="992">
        <f>'ANNEXURE I'!I22</f>
        <v>0</v>
      </c>
      <c r="J24" s="992">
        <f>'ANNEXURE I'!J22</f>
        <v>0</v>
      </c>
      <c r="K24" s="992">
        <f>'ANNEXURE I'!K22</f>
        <v>0</v>
      </c>
      <c r="L24" s="992">
        <f>'ANNEXURE I'!L22</f>
        <v>0</v>
      </c>
      <c r="M24" s="992">
        <f>'ANNEXURE I'!M22</f>
        <v>0</v>
      </c>
      <c r="N24" s="992">
        <f>'ANNEXURE I'!N22</f>
        <v>0</v>
      </c>
      <c r="O24" s="992">
        <f>'ANNEXURE I'!O22</f>
        <v>0</v>
      </c>
      <c r="P24" s="76">
        <f t="shared" si="5"/>
        <v>0</v>
      </c>
      <c r="Q24" s="991">
        <f>'ANNEXURE I'!Q22</f>
        <v>0</v>
      </c>
      <c r="R24" s="991">
        <f>'ANNEXURE I'!R22</f>
        <v>0</v>
      </c>
      <c r="S24" s="992">
        <f>'ANNEXURE I'!S22</f>
        <v>0</v>
      </c>
      <c r="T24" s="992">
        <f>'ANNEXURE I'!T22</f>
        <v>0</v>
      </c>
      <c r="U24" s="992">
        <f>'ANNEXURE I'!U22</f>
        <v>0</v>
      </c>
      <c r="V24" s="992">
        <f>'ANNEXURE I'!V22</f>
        <v>0</v>
      </c>
      <c r="W24" s="992">
        <f>'ANNEXURE I'!W22</f>
        <v>0</v>
      </c>
      <c r="X24" s="992">
        <f>'ANNEXURE I'!X22</f>
        <v>0</v>
      </c>
      <c r="Y24" s="993">
        <f>'ANNEXURE I'!Y22</f>
        <v>0</v>
      </c>
      <c r="Z24" s="75">
        <f t="shared" si="3"/>
        <v>0</v>
      </c>
      <c r="AA24" s="75">
        <f t="shared" si="2"/>
        <v>0</v>
      </c>
      <c r="AB24" s="1185" t="str">
        <f t="shared" si="4"/>
        <v>HRA Arrs</v>
      </c>
      <c r="AC24" s="1186"/>
      <c r="AD24" s="804"/>
    </row>
    <row r="25" spans="2:32" ht="18.75" customHeight="1" x14ac:dyDescent="0.25">
      <c r="B25" s="540" t="s">
        <v>173</v>
      </c>
      <c r="C25" s="991">
        <f>'ANNEXURE I'!C23</f>
        <v>0</v>
      </c>
      <c r="D25" s="991">
        <f>'ANNEXURE I'!D23</f>
        <v>0</v>
      </c>
      <c r="E25" s="991">
        <f>'ANNEXURE I'!E23</f>
        <v>0</v>
      </c>
      <c r="F25" s="991">
        <f>'ANNEXURE I'!F23</f>
        <v>0</v>
      </c>
      <c r="G25" s="992">
        <f>'ANNEXURE I'!G23</f>
        <v>0</v>
      </c>
      <c r="H25" s="992">
        <f>'ANNEXURE I'!H23</f>
        <v>0</v>
      </c>
      <c r="I25" s="992">
        <f>'ANNEXURE I'!I23</f>
        <v>0</v>
      </c>
      <c r="J25" s="992">
        <f>'ANNEXURE I'!J23</f>
        <v>0</v>
      </c>
      <c r="K25" s="992">
        <f>'ANNEXURE I'!K23</f>
        <v>0</v>
      </c>
      <c r="L25" s="992">
        <f>'ANNEXURE I'!L23</f>
        <v>0</v>
      </c>
      <c r="M25" s="992">
        <f>'ANNEXURE I'!M23</f>
        <v>0</v>
      </c>
      <c r="N25" s="992">
        <f>'ANNEXURE I'!N23</f>
        <v>0</v>
      </c>
      <c r="O25" s="992">
        <f>'ANNEXURE I'!O23</f>
        <v>0</v>
      </c>
      <c r="P25" s="76">
        <f t="shared" si="5"/>
        <v>0</v>
      </c>
      <c r="Q25" s="991">
        <f>'ANNEXURE I'!Q23</f>
        <v>0</v>
      </c>
      <c r="R25" s="991">
        <f>'ANNEXURE I'!R23</f>
        <v>0</v>
      </c>
      <c r="S25" s="992">
        <f>'ANNEXURE I'!S23</f>
        <v>0</v>
      </c>
      <c r="T25" s="992">
        <f>'ANNEXURE I'!T23</f>
        <v>0</v>
      </c>
      <c r="U25" s="992">
        <f>'ANNEXURE I'!U23</f>
        <v>0</v>
      </c>
      <c r="V25" s="992">
        <f>'ANNEXURE I'!V23</f>
        <v>0</v>
      </c>
      <c r="W25" s="992">
        <f>'ANNEXURE I'!W23</f>
        <v>0</v>
      </c>
      <c r="X25" s="992">
        <f>'ANNEXURE I'!X23</f>
        <v>0</v>
      </c>
      <c r="Y25" s="993">
        <f>'ANNEXURE I'!Y23</f>
        <v>0</v>
      </c>
      <c r="Z25" s="75">
        <f t="shared" si="3"/>
        <v>0</v>
      </c>
      <c r="AA25" s="75">
        <f t="shared" si="2"/>
        <v>0</v>
      </c>
      <c r="AB25" s="1185" t="str">
        <f t="shared" si="4"/>
        <v>INC. Arrs</v>
      </c>
      <c r="AC25" s="1186"/>
      <c r="AD25" s="804"/>
    </row>
    <row r="26" spans="2:32" ht="18.95" customHeight="1" x14ac:dyDescent="0.25">
      <c r="B26" s="540" t="s">
        <v>174</v>
      </c>
      <c r="C26" s="991">
        <f>'ANNEXURE I'!C24</f>
        <v>0</v>
      </c>
      <c r="D26" s="991">
        <f>'ANNEXURE I'!D24</f>
        <v>0</v>
      </c>
      <c r="E26" s="991">
        <f>'ANNEXURE I'!E24</f>
        <v>0</v>
      </c>
      <c r="F26" s="991">
        <f>'ANNEXURE I'!F24</f>
        <v>0</v>
      </c>
      <c r="G26" s="992">
        <f>'ANNEXURE I'!G24</f>
        <v>0</v>
      </c>
      <c r="H26" s="992">
        <f>'ANNEXURE I'!H24</f>
        <v>0</v>
      </c>
      <c r="I26" s="992">
        <f>'ANNEXURE I'!I24</f>
        <v>0</v>
      </c>
      <c r="J26" s="992">
        <f>'ANNEXURE I'!J24</f>
        <v>0</v>
      </c>
      <c r="K26" s="992">
        <f>'ANNEXURE I'!K24</f>
        <v>0</v>
      </c>
      <c r="L26" s="992">
        <f>'ANNEXURE I'!L24</f>
        <v>0</v>
      </c>
      <c r="M26" s="992">
        <f>'ANNEXURE I'!M24</f>
        <v>0</v>
      </c>
      <c r="N26" s="992">
        <f>'ANNEXURE I'!N24</f>
        <v>0</v>
      </c>
      <c r="O26" s="992">
        <f>'ANNEXURE I'!O24</f>
        <v>0</v>
      </c>
      <c r="P26" s="76">
        <f t="shared" si="5"/>
        <v>0</v>
      </c>
      <c r="Q26" s="991">
        <f>'ANNEXURE I'!Q24</f>
        <v>0</v>
      </c>
      <c r="R26" s="991">
        <f>'ANNEXURE I'!R24</f>
        <v>0</v>
      </c>
      <c r="S26" s="992">
        <f>'ANNEXURE I'!S24</f>
        <v>0</v>
      </c>
      <c r="T26" s="992">
        <f>'ANNEXURE I'!T24</f>
        <v>0</v>
      </c>
      <c r="U26" s="992">
        <f>'ANNEXURE I'!U24</f>
        <v>0</v>
      </c>
      <c r="V26" s="992">
        <f>'ANNEXURE I'!V24</f>
        <v>0</v>
      </c>
      <c r="W26" s="992">
        <f>'ANNEXURE I'!W24</f>
        <v>0</v>
      </c>
      <c r="X26" s="992">
        <f>'ANNEXURE I'!X24</f>
        <v>0</v>
      </c>
      <c r="Y26" s="993">
        <f>'ANNEXURE I'!Y24</f>
        <v>0</v>
      </c>
      <c r="Z26" s="75">
        <f t="shared" si="3"/>
        <v>0</v>
      </c>
      <c r="AA26" s="75">
        <f t="shared" si="2"/>
        <v>0</v>
      </c>
      <c r="AB26" s="1185" t="str">
        <f t="shared" si="4"/>
        <v>PRO. Arrs</v>
      </c>
      <c r="AC26" s="1186"/>
      <c r="AD26" s="804"/>
    </row>
    <row r="27" spans="2:32" ht="18.95" customHeight="1" x14ac:dyDescent="0.25">
      <c r="B27" s="540" t="s">
        <v>175</v>
      </c>
      <c r="C27" s="991"/>
      <c r="D27" s="991">
        <f>'ANNEXURE I'!D25</f>
        <v>0</v>
      </c>
      <c r="E27" s="991">
        <f>'ANNEXURE I'!E25</f>
        <v>0</v>
      </c>
      <c r="F27" s="991">
        <f>'ANNEXURE I'!F25</f>
        <v>0</v>
      </c>
      <c r="G27" s="992">
        <f>'ANNEXURE I'!G25</f>
        <v>0</v>
      </c>
      <c r="H27" s="992">
        <f>'ANNEXURE I'!H25</f>
        <v>0</v>
      </c>
      <c r="I27" s="992">
        <f>'ANNEXURE I'!I25</f>
        <v>0</v>
      </c>
      <c r="J27" s="992">
        <f>'ANNEXURE I'!J25</f>
        <v>0</v>
      </c>
      <c r="K27" s="992">
        <f>'ANNEXURE I'!K25</f>
        <v>0</v>
      </c>
      <c r="L27" s="992">
        <f>'ANNEXURE I'!L25</f>
        <v>0</v>
      </c>
      <c r="M27" s="992">
        <f>'ANNEXURE I'!M25</f>
        <v>0</v>
      </c>
      <c r="N27" s="992">
        <f>'ANNEXURE I'!N25</f>
        <v>0</v>
      </c>
      <c r="O27" s="992">
        <f>'ANNEXURE I'!O25</f>
        <v>0</v>
      </c>
      <c r="P27" s="76">
        <f>SUM(C27:O27)+'10E DATA'!E23</f>
        <v>0</v>
      </c>
      <c r="Q27" s="991">
        <f>'ANNEXURE I'!Q25</f>
        <v>0</v>
      </c>
      <c r="R27" s="991">
        <f>'ANNEXURE I'!R25</f>
        <v>0</v>
      </c>
      <c r="S27" s="992">
        <f>'ANNEXURE I'!S25</f>
        <v>0</v>
      </c>
      <c r="T27" s="992">
        <f>'ANNEXURE I'!T25</f>
        <v>0</v>
      </c>
      <c r="U27" s="992">
        <f>'ANNEXURE I'!U25</f>
        <v>0</v>
      </c>
      <c r="V27" s="992">
        <f>'ANNEXURE I'!V25</f>
        <v>0</v>
      </c>
      <c r="W27" s="992">
        <f>'ANNEXURE I'!W25</f>
        <v>0</v>
      </c>
      <c r="X27" s="992">
        <f>'ANNEXURE I'!X25</f>
        <v>0</v>
      </c>
      <c r="Y27" s="993">
        <f>'ANNEXURE I'!Y25</f>
        <v>0</v>
      </c>
      <c r="Z27" s="75">
        <f t="shared" si="3"/>
        <v>0</v>
      </c>
      <c r="AA27" s="75"/>
      <c r="AB27" s="1185" t="str">
        <f t="shared" ref="AB27" si="6">B27</f>
        <v>Old Arrears</v>
      </c>
      <c r="AC27" s="1186"/>
      <c r="AD27" s="804"/>
    </row>
    <row r="28" spans="2:32" s="24" customFormat="1" ht="30" customHeight="1" x14ac:dyDescent="0.3">
      <c r="B28" s="264" t="s">
        <v>47</v>
      </c>
      <c r="C28" s="265">
        <f>SUM(C7:C27)</f>
        <v>672560</v>
      </c>
      <c r="D28" s="265">
        <f t="shared" ref="D28:AA28" si="7">SUM(D7:D27)</f>
        <v>236789</v>
      </c>
      <c r="E28" s="265">
        <f t="shared" si="7"/>
        <v>67256</v>
      </c>
      <c r="F28" s="265">
        <f t="shared" ref="F28" si="8">SUM(F7:F27)</f>
        <v>0</v>
      </c>
      <c r="G28" s="472">
        <f t="shared" si="7"/>
        <v>1800</v>
      </c>
      <c r="H28" s="265">
        <f t="shared" si="7"/>
        <v>0</v>
      </c>
      <c r="I28" s="265">
        <f t="shared" si="7"/>
        <v>0</v>
      </c>
      <c r="J28" s="265">
        <f t="shared" si="7"/>
        <v>0</v>
      </c>
      <c r="K28" s="265">
        <f t="shared" si="7"/>
        <v>0</v>
      </c>
      <c r="L28" s="265">
        <f t="shared" si="7"/>
        <v>0</v>
      </c>
      <c r="M28" s="265">
        <f t="shared" si="7"/>
        <v>0</v>
      </c>
      <c r="N28" s="265">
        <f t="shared" si="7"/>
        <v>0</v>
      </c>
      <c r="O28" s="265">
        <f t="shared" si="7"/>
        <v>0</v>
      </c>
      <c r="P28" s="813">
        <f t="shared" si="7"/>
        <v>978405</v>
      </c>
      <c r="Q28" s="265">
        <f t="shared" si="7"/>
        <v>90931</v>
      </c>
      <c r="R28" s="265">
        <f t="shared" si="7"/>
        <v>30000</v>
      </c>
      <c r="S28" s="265">
        <f t="shared" si="7"/>
        <v>720</v>
      </c>
      <c r="T28" s="265">
        <f t="shared" si="7"/>
        <v>2400</v>
      </c>
      <c r="U28" s="265">
        <f t="shared" si="7"/>
        <v>2700</v>
      </c>
      <c r="V28" s="265">
        <f t="shared" si="7"/>
        <v>150</v>
      </c>
      <c r="W28" s="265">
        <f t="shared" si="7"/>
        <v>0</v>
      </c>
      <c r="X28" s="265">
        <f t="shared" si="7"/>
        <v>0</v>
      </c>
      <c r="Y28" s="265">
        <f t="shared" si="7"/>
        <v>0</v>
      </c>
      <c r="Z28" s="724">
        <f t="shared" si="7"/>
        <v>126901</v>
      </c>
      <c r="AA28" s="724">
        <f t="shared" si="7"/>
        <v>851504</v>
      </c>
      <c r="AB28" s="1187"/>
      <c r="AC28" s="1188"/>
      <c r="AE28" s="25"/>
    </row>
    <row r="29" spans="2:32" s="24" customFormat="1" ht="15" customHeight="1" x14ac:dyDescent="0.3">
      <c r="B29" s="26" t="s">
        <v>176</v>
      </c>
      <c r="C29" s="1189" t="s">
        <v>176</v>
      </c>
      <c r="D29" s="1189"/>
      <c r="E29" s="1189"/>
      <c r="F29" s="1189"/>
      <c r="G29" s="1189"/>
      <c r="H29" s="1189"/>
      <c r="I29" s="1189"/>
      <c r="J29" s="1189"/>
      <c r="K29" s="1189"/>
      <c r="L29" s="1189"/>
      <c r="M29" s="1189"/>
      <c r="N29" s="1189"/>
      <c r="O29" s="1189"/>
      <c r="P29" s="1189"/>
      <c r="Q29" s="1189"/>
      <c r="R29" s="27" t="s">
        <v>176</v>
      </c>
      <c r="S29" s="1190" t="s">
        <v>176</v>
      </c>
      <c r="T29" s="1190"/>
      <c r="U29" s="1190"/>
      <c r="V29" s="1190"/>
      <c r="W29" s="1190"/>
      <c r="X29" s="1190"/>
      <c r="Y29" s="1190"/>
      <c r="Z29" s="1190"/>
      <c r="AA29" s="1190"/>
      <c r="AB29" s="1190"/>
      <c r="AC29" s="1191"/>
      <c r="AE29" s="25"/>
    </row>
    <row r="30" spans="2:32" s="24" customFormat="1" ht="75" customHeight="1" thickBot="1" x14ac:dyDescent="0.35">
      <c r="B30" s="28"/>
      <c r="C30" s="1192" t="s">
        <v>177</v>
      </c>
      <c r="D30" s="1192"/>
      <c r="E30" s="1192"/>
      <c r="F30" s="1192"/>
      <c r="G30" s="1192"/>
      <c r="H30" s="1192"/>
      <c r="I30" s="1192"/>
      <c r="J30" s="1192"/>
      <c r="K30" s="1192"/>
      <c r="L30" s="1192"/>
      <c r="M30" s="1192"/>
      <c r="N30" s="1192"/>
      <c r="O30" s="1192"/>
      <c r="P30" s="1192"/>
      <c r="Q30" s="1192"/>
      <c r="R30" s="1192" t="s">
        <v>178</v>
      </c>
      <c r="S30" s="1192"/>
      <c r="T30" s="1192"/>
      <c r="U30" s="1192"/>
      <c r="V30" s="1192"/>
      <c r="W30" s="1192"/>
      <c r="X30" s="1192"/>
      <c r="Y30" s="1192"/>
      <c r="Z30" s="1192"/>
      <c r="AA30" s="1192"/>
      <c r="AB30" s="1192"/>
      <c r="AC30" s="814"/>
      <c r="AE30" s="25"/>
    </row>
    <row r="31" spans="2:32" ht="15.95" customHeight="1" thickTop="1" x14ac:dyDescent="0.25">
      <c r="B31" s="804"/>
      <c r="C31" s="1184" t="s">
        <v>179</v>
      </c>
      <c r="D31" s="1184"/>
      <c r="E31" s="1184"/>
      <c r="F31" s="1184"/>
      <c r="G31" s="1184"/>
      <c r="H31" s="1184"/>
      <c r="I31" s="1184"/>
      <c r="J31" s="1184"/>
      <c r="K31" s="1184"/>
      <c r="L31" s="1184"/>
      <c r="M31" s="1184"/>
      <c r="N31" s="1184"/>
      <c r="O31" s="1184"/>
      <c r="P31" s="1184"/>
      <c r="Q31" s="1184"/>
      <c r="R31" s="1184"/>
      <c r="S31" s="1184"/>
      <c r="T31" s="1184"/>
      <c r="U31" s="1184"/>
      <c r="V31" s="1184"/>
      <c r="W31" s="1184"/>
      <c r="X31" s="1184"/>
      <c r="Y31" s="1184"/>
      <c r="Z31" s="1184"/>
      <c r="AA31" s="1184"/>
      <c r="AB31" s="1184"/>
      <c r="AC31" s="1184"/>
      <c r="AD31" s="804"/>
    </row>
    <row r="36" spans="7:7" x14ac:dyDescent="0.25">
      <c r="G36" s="29"/>
    </row>
  </sheetData>
  <sheetProtection algorithmName="SHA-512" hashValue="G4vraJxpT1JhVZJ2ZAqBuNJ/7L1E4twF8aRpirebD6aVX2szdFLZQqiEq7r6gGYYSPtZ62f7wRgguEKcCMok1A==" saltValue="FfKXqHqoEHDBH012bvWCQQ==" spinCount="100000" sheet="1" objects="1" scenarios="1" selectLockedCells="1"/>
  <protectedRanges>
    <protectedRange sqref="C7:O27" name="Range1"/>
    <protectedRange sqref="Q7:Y27" name="Range2"/>
  </protectedRanges>
  <mergeCells count="25">
    <mergeCell ref="C2:O2"/>
    <mergeCell ref="R2:AC2"/>
    <mergeCell ref="C31:AC31"/>
    <mergeCell ref="AB21:AC21"/>
    <mergeCell ref="AB22:AC22"/>
    <mergeCell ref="AB23:AC23"/>
    <mergeCell ref="AB24:AC24"/>
    <mergeCell ref="AB25:AC25"/>
    <mergeCell ref="AB26:AC26"/>
    <mergeCell ref="AB28:AC28"/>
    <mergeCell ref="C29:Q29"/>
    <mergeCell ref="S29:AC29"/>
    <mergeCell ref="C30:Q30"/>
    <mergeCell ref="R30:AB30"/>
    <mergeCell ref="AB27:AC27"/>
    <mergeCell ref="J4:L4"/>
    <mergeCell ref="M4:Q4"/>
    <mergeCell ref="S4:X4"/>
    <mergeCell ref="Y4:Z4"/>
    <mergeCell ref="AA4:AC4"/>
    <mergeCell ref="J5:L5"/>
    <mergeCell ref="M5:Q5"/>
    <mergeCell ref="S5:X5"/>
    <mergeCell ref="Y5:Z5"/>
    <mergeCell ref="AA5:AC5"/>
  </mergeCells>
  <conditionalFormatting sqref="C7:C18">
    <cfRule type="expression" dxfId="40" priority="1">
      <formula>C7&lt;&gt;C6</formula>
    </cfRule>
  </conditionalFormatting>
  <conditionalFormatting sqref="AB8:AC18">
    <cfRule type="expression" dxfId="39" priority="2">
      <formula>AB8&lt;&gt;AB7</formula>
    </cfRule>
  </conditionalFormatting>
  <dataValidations count="2">
    <dataValidation type="list" allowBlank="1" showInputMessage="1" showErrorMessage="1" sqref="B21" xr:uid="{A93EA7F5-9DB9-4F48-9237-B9F2020CCAAD}">
      <formula1>"Tution Fees,MRB Claims"</formula1>
    </dataValidation>
    <dataValidation type="list" allowBlank="1" showInputMessage="1" showErrorMessage="1" sqref="P2" xr:uid="{00000000-0002-0000-0000-000011000000}">
      <formula1>"YES,NO"</formula1>
    </dataValidation>
  </dataValidations>
  <printOptions horizontalCentered="1" verticalCentered="1"/>
  <pageMargins left="0.15748031496062992" right="0.15748031496062992" top="7.874015748031496E-2" bottom="7.874015748031496E-2" header="7.874015748031496E-2" footer="7.874015748031496E-2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H34"/>
  <sheetViews>
    <sheetView showGridLines="0" showRowColHeaders="0" showZeros="0" showRuler="0" zoomScaleNormal="100" zoomScaleSheetLayoutView="100" workbookViewId="0">
      <pane xSplit="2" ySplit="4" topLeftCell="C5" activePane="bottomRight" state="frozen"/>
      <selection pane="bottomLeft" activeCell="A5" sqref="A5"/>
      <selection pane="topRight" activeCell="C1" sqref="C1"/>
      <selection pane="bottomRight" activeCell="C20" sqref="C20"/>
    </sheetView>
  </sheetViews>
  <sheetFormatPr defaultColWidth="9.14453125" defaultRowHeight="17.25" x14ac:dyDescent="0.25"/>
  <cols>
    <col min="1" max="1" width="1.34375" style="20" customWidth="1" collapsed="1"/>
    <col min="2" max="2" width="10.76171875" style="20" customWidth="1" collapsed="1"/>
    <col min="3" max="3" width="7.6640625" style="20" customWidth="1" collapsed="1"/>
    <col min="4" max="5" width="6.72265625" style="20" customWidth="1" collapsed="1"/>
    <col min="6" max="6" width="6.72265625" style="20" customWidth="1"/>
    <col min="7" max="7" width="4.70703125" style="20" customWidth="1" collapsed="1"/>
    <col min="8" max="9" width="5.37890625" style="20" customWidth="1" collapsed="1"/>
    <col min="10" max="10" width="5.24609375" style="20" customWidth="1" collapsed="1"/>
    <col min="11" max="11" width="4.70703125" style="20" customWidth="1" collapsed="1"/>
    <col min="12" max="14" width="4.4375" style="20" customWidth="1" collapsed="1"/>
    <col min="15" max="15" width="6.72265625" style="20" customWidth="1" collapsed="1"/>
    <col min="16" max="16" width="9.68359375" style="20" customWidth="1" collapsed="1"/>
    <col min="17" max="17" width="6.859375" style="20" customWidth="1" collapsed="1"/>
    <col min="18" max="18" width="6.72265625" style="20" customWidth="1" collapsed="1"/>
    <col min="19" max="19" width="4.4375" style="20" customWidth="1" collapsed="1"/>
    <col min="20" max="21" width="4.3046875" style="20" customWidth="1" collapsed="1"/>
    <col min="22" max="22" width="5.6484375" style="20" customWidth="1" collapsed="1"/>
    <col min="23" max="23" width="6.05078125" style="20" customWidth="1" collapsed="1"/>
    <col min="24" max="24" width="6.1875" style="20" bestFit="1" customWidth="1" collapsed="1"/>
    <col min="25" max="27" width="7.6640625" style="20" customWidth="1" collapsed="1"/>
    <col min="28" max="28" width="6.3203125" style="20" customWidth="1" collapsed="1"/>
    <col min="29" max="29" width="6.9921875" style="20" customWidth="1" collapsed="1"/>
    <col min="30" max="30" width="10.625" style="20" bestFit="1" customWidth="1" collapsed="1"/>
    <col min="31" max="31" width="7.6640625" style="21" bestFit="1" customWidth="1" collapsed="1"/>
    <col min="32" max="32" width="7.80078125" style="20" bestFit="1" customWidth="1" collapsed="1"/>
    <col min="33" max="34" width="9.14453125" style="20"/>
    <col min="35" max="16384" width="9.14453125" style="20" collapsed="1"/>
  </cols>
  <sheetData>
    <row r="1" spans="2:32" ht="5.0999999999999996" customHeight="1" thickBot="1" x14ac:dyDescent="0.3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F1" s="804"/>
    </row>
    <row r="2" spans="2:32" ht="23.1" customHeight="1" thickTop="1" x14ac:dyDescent="0.25">
      <c r="B2" s="257" t="str">
        <f>IF(DATA!E24="","OLD",IF(DATA!D26="AUTO",DATA!E24,DATA!D26))</f>
        <v>NEW</v>
      </c>
      <c r="C2" s="805" t="str">
        <f>DATA!G17&amp;UPPER(DATA!H17)</f>
        <v>Sri.  PERUMALLA RAMANJANEYULU</v>
      </c>
      <c r="D2" s="806"/>
      <c r="E2" s="806"/>
      <c r="F2" s="806"/>
      <c r="G2" s="806"/>
      <c r="H2" s="806"/>
      <c r="I2" s="806"/>
      <c r="J2" s="1193" t="s">
        <v>143</v>
      </c>
      <c r="K2" s="1193"/>
      <c r="L2" s="1193"/>
      <c r="M2" s="1171" t="str">
        <f>UPPER(DATA!H21)</f>
        <v>Z.P.HIGH SCHOOL</v>
      </c>
      <c r="N2" s="1171"/>
      <c r="O2" s="1171"/>
      <c r="P2" s="1171"/>
      <c r="Q2" s="1171"/>
      <c r="R2" s="807" t="s">
        <v>144</v>
      </c>
      <c r="S2" s="1171" t="str">
        <f>UPPER(DATA!H23)</f>
        <v>BETHAMCHERLA</v>
      </c>
      <c r="T2" s="1171"/>
      <c r="U2" s="1171"/>
      <c r="V2" s="1171"/>
      <c r="W2" s="1171"/>
      <c r="X2" s="1171"/>
      <c r="Y2" s="1172" t="s">
        <v>145</v>
      </c>
      <c r="Z2" s="1172"/>
      <c r="AA2" s="1173" t="str">
        <f>TEXT(DATA!H19,"0000000")</f>
        <v>0123456</v>
      </c>
      <c r="AB2" s="1173"/>
      <c r="AC2" s="1174"/>
      <c r="AD2" s="804"/>
      <c r="AF2" s="804"/>
    </row>
    <row r="3" spans="2:32" ht="23.1" customHeight="1" thickBot="1" x14ac:dyDescent="0.3">
      <c r="B3" s="258" t="s">
        <v>146</v>
      </c>
      <c r="C3" s="808" t="str">
        <f>UPPER(DATA!H18)</f>
        <v>SECONDARY GRADE TEACHER</v>
      </c>
      <c r="D3" s="809"/>
      <c r="E3" s="809"/>
      <c r="F3" s="809"/>
      <c r="G3" s="809"/>
      <c r="H3" s="809"/>
      <c r="I3" s="809"/>
      <c r="J3" s="1175" t="s">
        <v>147</v>
      </c>
      <c r="K3" s="1175"/>
      <c r="L3" s="1175"/>
      <c r="M3" s="1176" t="str">
        <f>UPPER(DATA!H22)</f>
        <v>RAHIMANPURAM</v>
      </c>
      <c r="N3" s="1176"/>
      <c r="O3" s="1176"/>
      <c r="P3" s="1176"/>
      <c r="Q3" s="1176"/>
      <c r="R3" s="810" t="s">
        <v>148</v>
      </c>
      <c r="S3" s="1176" t="str">
        <f>UPPER(DATA!H24)</f>
        <v>NANDYAL</v>
      </c>
      <c r="T3" s="1176"/>
      <c r="U3" s="1176"/>
      <c r="V3" s="1176"/>
      <c r="W3" s="1176"/>
      <c r="X3" s="1176"/>
      <c r="Y3" s="1177" t="s">
        <v>149</v>
      </c>
      <c r="Z3" s="1177"/>
      <c r="AA3" s="1176" t="str">
        <f>UPPER(DATA!H20)</f>
        <v>MYPAN1234S</v>
      </c>
      <c r="AB3" s="1176"/>
      <c r="AC3" s="1178"/>
      <c r="AD3" s="804"/>
      <c r="AF3" s="804"/>
    </row>
    <row r="4" spans="2:32" s="30" customFormat="1" ht="45" customHeight="1" thickTop="1" x14ac:dyDescent="0.2">
      <c r="B4" s="127" t="s">
        <v>150</v>
      </c>
      <c r="C4" s="128" t="s">
        <v>151</v>
      </c>
      <c r="D4" s="129" t="s">
        <v>152</v>
      </c>
      <c r="E4" s="129" t="s">
        <v>132</v>
      </c>
      <c r="F4" s="129" t="s">
        <v>731</v>
      </c>
      <c r="G4" s="130" t="s">
        <v>153</v>
      </c>
      <c r="H4" s="131" t="s">
        <v>154</v>
      </c>
      <c r="I4" s="132" t="s">
        <v>155</v>
      </c>
      <c r="J4" s="128" t="s">
        <v>156</v>
      </c>
      <c r="K4" s="133" t="s">
        <v>96</v>
      </c>
      <c r="L4" s="133" t="s">
        <v>99</v>
      </c>
      <c r="M4" s="134" t="s">
        <v>103</v>
      </c>
      <c r="N4" s="134" t="s">
        <v>107</v>
      </c>
      <c r="O4" s="131" t="s">
        <v>3</v>
      </c>
      <c r="P4" s="128" t="s">
        <v>157</v>
      </c>
      <c r="Q4" s="135" t="str">
        <f>IF(DATA!D5="","CPS",DATA!D5)</f>
        <v>CPS</v>
      </c>
      <c r="R4" s="132" t="s">
        <v>115</v>
      </c>
      <c r="S4" s="132" t="s">
        <v>158</v>
      </c>
      <c r="T4" s="132" t="s">
        <v>121</v>
      </c>
      <c r="U4" s="133" t="s">
        <v>159</v>
      </c>
      <c r="V4" s="130" t="s">
        <v>160</v>
      </c>
      <c r="W4" s="128" t="s">
        <v>161</v>
      </c>
      <c r="X4" s="131" t="s">
        <v>4</v>
      </c>
      <c r="Y4" s="133" t="s">
        <v>162</v>
      </c>
      <c r="Z4" s="128" t="s">
        <v>163</v>
      </c>
      <c r="AA4" s="128" t="s">
        <v>164</v>
      </c>
      <c r="AB4" s="131" t="s">
        <v>165</v>
      </c>
      <c r="AC4" s="136" t="s">
        <v>166</v>
      </c>
    </row>
    <row r="5" spans="2:32" ht="18.95" customHeight="1" x14ac:dyDescent="0.25">
      <c r="B5" s="551">
        <f>DATA!G3</f>
        <v>45717</v>
      </c>
      <c r="C5" s="815">
        <f>KEY!R29</f>
        <v>55520</v>
      </c>
      <c r="D5" s="815">
        <f>ROUND(C5*KEY!W3,0)</f>
        <v>18694</v>
      </c>
      <c r="E5" s="815">
        <f>IF(KEY!X3=10%,MIN(ROUND(C5*KEY!X3,0),11000),IF(KEY!X3=12%,MIN(ROUND(C5*KEY!X3,0),13000),
   IF(KEY!X3=16%,MIN(ROUND(C5*KEY!X3,0),17000),MIN(ROUND(C5*KEY!X3,0),25000))))</f>
        <v>5552</v>
      </c>
      <c r="F5" s="815">
        <f>ROUND(C5*KEY!Z3,0)</f>
        <v>0</v>
      </c>
      <c r="G5" s="815">
        <f>IFERROR(DATA!C31,0)</f>
        <v>150</v>
      </c>
      <c r="H5" s="815">
        <f>KEY!Y3</f>
        <v>0</v>
      </c>
      <c r="I5" s="815">
        <f>DATA!I3</f>
        <v>0</v>
      </c>
      <c r="J5" s="815">
        <f>DATA!E47</f>
        <v>0</v>
      </c>
      <c r="K5" s="815">
        <f>IFERROR(DATA!C32,0)</f>
        <v>0</v>
      </c>
      <c r="L5" s="815">
        <f>IFERROR(DATA!C33,0)</f>
        <v>0</v>
      </c>
      <c r="M5" s="815">
        <f>IFERROR(DATA!C34,0)</f>
        <v>0</v>
      </c>
      <c r="N5" s="815">
        <f>IFERROR(DATA!C35,0)</f>
        <v>0</v>
      </c>
      <c r="O5" s="815">
        <f>IFERROR(DATA!J3,0)</f>
        <v>0</v>
      </c>
      <c r="P5" s="76">
        <f>SUM(C5:O5)</f>
        <v>79916</v>
      </c>
      <c r="Q5" s="815">
        <f>IF(DATA!$D$5="CPS",ROUND(('ANNEXURE I'!C5+'ANNEXURE I'!D5)*10%,0),IFERROR(DATA!C36,0))</f>
        <v>7421</v>
      </c>
      <c r="R5" s="815">
        <f>IFERROR(DATA!C37,0)</f>
        <v>2500</v>
      </c>
      <c r="S5" s="815">
        <f>IFERROR(DATA!C38,0)</f>
        <v>60</v>
      </c>
      <c r="T5" s="815">
        <f>IFERROR(DATA!C39,0)</f>
        <v>200</v>
      </c>
      <c r="U5" s="815">
        <f>IFERROR(DATA!C40,0)</f>
        <v>225</v>
      </c>
      <c r="V5" s="815">
        <f>IFERROR(DATA!C42,0)</f>
        <v>50</v>
      </c>
      <c r="W5" s="815">
        <f>IFERROR(DATA!C41,0)</f>
        <v>0</v>
      </c>
      <c r="X5" s="815">
        <f>IFERROR(DATA!K3,0)</f>
        <v>0</v>
      </c>
      <c r="Y5" s="815">
        <f>IFERROR(DATA!H3,0)</f>
        <v>0</v>
      </c>
      <c r="Z5" s="75">
        <f>SUM(Q5:Y5)</f>
        <v>10456</v>
      </c>
      <c r="AA5" s="75">
        <f>P5-Z5</f>
        <v>69460</v>
      </c>
      <c r="AB5" s="403">
        <f>KEY!X3</f>
        <v>0.1</v>
      </c>
      <c r="AC5" s="404">
        <f>KEY!W3</f>
        <v>0.3367</v>
      </c>
      <c r="AD5" s="804"/>
      <c r="AE5" s="22"/>
      <c r="AF5" s="21"/>
    </row>
    <row r="6" spans="2:32" ht="18.95" customHeight="1" x14ac:dyDescent="0.25">
      <c r="B6" s="551">
        <f>DATA!G4</f>
        <v>45748</v>
      </c>
      <c r="C6" s="815">
        <f>KEY!R30</f>
        <v>55520</v>
      </c>
      <c r="D6" s="815">
        <f>ROUND(C6*KEY!W4,0)</f>
        <v>18694</v>
      </c>
      <c r="E6" s="815">
        <f>IF(KEY!X4=10%,MIN(ROUND(C6*KEY!X4,0),11000),IF(KEY!X4=12%,MIN(ROUND(C6*KEY!X4,0),13000),
   IF(KEY!X4=16%,MIN(ROUND(C6*KEY!X4,0),17000),MIN(ROUND(C6*KEY!X4,0),25000))))</f>
        <v>5552</v>
      </c>
      <c r="F6" s="815">
        <f>ROUND(C6*KEY!Z4,0)</f>
        <v>0</v>
      </c>
      <c r="G6" s="815">
        <f>IF(DATA!$D$31="",0,IF(DATA!$D$31="NO CHANGE",G5,IFERROR(IF(VALUE(DATA!$D$31)=VALUE(B6),DATA!$E$31,G5),0)))</f>
        <v>150</v>
      </c>
      <c r="H6" s="815">
        <f>KEY!Y4</f>
        <v>0</v>
      </c>
      <c r="I6" s="815">
        <f>DATA!I4</f>
        <v>0</v>
      </c>
      <c r="J6" s="815">
        <f t="shared" ref="J6:J16" si="0">J5</f>
        <v>0</v>
      </c>
      <c r="K6" s="815">
        <f>IF(DATA!$D$32="",0,IF(DATA!$D$32="NO CHANGE",K5,IFERROR(IF(VALUE(DATA!$D$32)=VALUE(B6),DATA!$E$32,K5),0)))</f>
        <v>0</v>
      </c>
      <c r="L6" s="815">
        <f>IF(DATA!$D$33="",0,IF(DATA!$D$33="NO CHANGE",L5,IFERROR(IF(VALUE(DATA!$D$33)=VALUE(B6),DATA!$E$33,L5),0)))</f>
        <v>0</v>
      </c>
      <c r="M6" s="816">
        <f>IF(DATA!$D$34="",0,IF(DATA!$D$34="NO CHANGE",M5,IFERROR(IF(VALUE(DATA!$D$34)=VALUE(B6),DATA!$E$34,M5),0)))</f>
        <v>0</v>
      </c>
      <c r="N6" s="816">
        <f>IF(DATA!$D$35="",0,IF(DATA!$D$35="NO CHANGE",N5,IFERROR(IF(VALUE(DATA!$D$35)=VALUE(B6),DATA!$E$35,N5),0)))</f>
        <v>0</v>
      </c>
      <c r="O6" s="815">
        <f>IFERROR(DATA!J4,0)</f>
        <v>0</v>
      </c>
      <c r="P6" s="76">
        <f t="shared" ref="P6:P18" si="1">SUM(C6:O6)</f>
        <v>79916</v>
      </c>
      <c r="Q6" s="815">
        <f>IF(DATA!$D$5="CPS",ROUND(('ANNEXURE I'!C6+'ANNEXURE I'!D6)*10%,0),IF(DATA!$D$36="",0,IF(DATA!$D$36="NO CHANGE",Q5,IFERROR(IF(VALUE(DATA!$D$36)=VALUE(B6),DATA!$E$36,Q5),0))))</f>
        <v>7421</v>
      </c>
      <c r="R6" s="816">
        <f>IF(DATA!$D$37="",0,IF(DATA!$D$37="NO CHANGE",R5,IFERROR(IF(VALUE(DATA!$D$37)=VALUE(B6),DATA!$E$37,R5),0)))</f>
        <v>2500</v>
      </c>
      <c r="S6" s="816">
        <f>IF(DATA!$D$38="",0,IF(DATA!$D$38="NO CHANGE",S5,IFERROR(IF(VALUE(DATA!$D$38)=VALUE(B6),DATA!$E$38,S5),0)))</f>
        <v>60</v>
      </c>
      <c r="T6" s="815">
        <f>IF(DATA!$D$39="",0,IF(DATA!$D$39="NO CHANGE",T5,IFERROR(IF(VALUE(DATA!$D$39)=VALUE(B6),DATA!$E$39,T5),0)))</f>
        <v>200</v>
      </c>
      <c r="U6" s="815">
        <f>IF(DATA!$D$40="",0,IF(DATA!$D$40="NO CHANGE",U5,IFERROR(IF(VALUE(DATA!$D$40)=VALUE(B6),DATA!$E$40,U5),0)))</f>
        <v>225</v>
      </c>
      <c r="V6" s="815"/>
      <c r="W6" s="815">
        <f>IF(DATA!$D$41="",0,IF(DATA!$D$41="NO CHANGE",W5,IFERROR(IF(VALUE(DATA!$D$41)=VALUE(B6),DATA!$E$41,W5),0)))</f>
        <v>0</v>
      </c>
      <c r="X6" s="815">
        <f>IFERROR(DATA!K4,0)</f>
        <v>0</v>
      </c>
      <c r="Y6" s="815">
        <f>IFERROR(DATA!H4,0)</f>
        <v>0</v>
      </c>
      <c r="Z6" s="75">
        <f t="shared" ref="Z6:Z16" si="2">SUM(Q6:Y6)</f>
        <v>10406</v>
      </c>
      <c r="AA6" s="75">
        <f t="shared" ref="AA6:AA15" si="3">P6-Z6</f>
        <v>69510</v>
      </c>
      <c r="AB6" s="403">
        <f>KEY!X4</f>
        <v>0.1</v>
      </c>
      <c r="AC6" s="404">
        <f>KEY!W4</f>
        <v>0.3367</v>
      </c>
      <c r="AD6" s="812"/>
      <c r="AE6" s="23"/>
      <c r="AF6" s="21"/>
    </row>
    <row r="7" spans="2:32" ht="18.95" customHeight="1" x14ac:dyDescent="0.25">
      <c r="B7" s="551">
        <f>DATA!G5</f>
        <v>45778</v>
      </c>
      <c r="C7" s="815">
        <f>KEY!R31</f>
        <v>55520</v>
      </c>
      <c r="D7" s="815">
        <f>ROUND(C7*KEY!W5,0)</f>
        <v>18694</v>
      </c>
      <c r="E7" s="815">
        <f>IF(KEY!X5=10%,MIN(ROUND(C7*KEY!X5,0),11000),IF(KEY!X5=12%,MIN(ROUND(C7*KEY!X5,0),13000),
   IF(KEY!X5=16%,MIN(ROUND(C7*KEY!X5,0),17000),MIN(ROUND(C7*KEY!X5,0),25000))))</f>
        <v>5552</v>
      </c>
      <c r="F7" s="815">
        <f>ROUND(C7*KEY!Z5,0)</f>
        <v>0</v>
      </c>
      <c r="G7" s="815">
        <f>IF(DATA!$D$31="",0,IF(DATA!$D$31="NO CHANGE",G6,IFERROR(IF(VALUE(DATA!$D$31)=VALUE(B7),DATA!$E$31,G6),0)))</f>
        <v>150</v>
      </c>
      <c r="H7" s="815">
        <f>KEY!Y5</f>
        <v>0</v>
      </c>
      <c r="I7" s="815">
        <f>DATA!I5</f>
        <v>0</v>
      </c>
      <c r="J7" s="815">
        <f t="shared" si="0"/>
        <v>0</v>
      </c>
      <c r="K7" s="815">
        <f>IF(DATA!$D$32="",0,IF(DATA!$D$32="NO CHANGE",K6,IFERROR(IF(VALUE(DATA!$D$32)=VALUE(B7),DATA!$E$32,K6),0)))</f>
        <v>0</v>
      </c>
      <c r="L7" s="815">
        <f>IF(DATA!$D$33="",0,IF(DATA!$D$33="NO CHANGE",L6,IFERROR(IF(VALUE(DATA!$D$33)=VALUE(B7),DATA!$E$33,L6),0)))</f>
        <v>0</v>
      </c>
      <c r="M7" s="816">
        <f>IF(DATA!$D$34="",0,IF(DATA!$D$34="NO CHANGE",M6,IFERROR(IF(VALUE(DATA!$D$34)=VALUE(B7),DATA!$E$34,M6),0)))</f>
        <v>0</v>
      </c>
      <c r="N7" s="816">
        <f>IF(DATA!$D$35="",0,IF(DATA!$D$35="NO CHANGE",N6,IFERROR(IF(VALUE(DATA!$D$35)=VALUE(B7),DATA!$E$35,N6),0)))</f>
        <v>0</v>
      </c>
      <c r="O7" s="815">
        <f>IFERROR(DATA!J5,0)</f>
        <v>0</v>
      </c>
      <c r="P7" s="76">
        <f t="shared" si="1"/>
        <v>79916</v>
      </c>
      <c r="Q7" s="815">
        <f>IF(DATA!$D$5="CPS",ROUND(('ANNEXURE I'!C7+'ANNEXURE I'!D7)*10%,0),IF(DATA!$D$36="",0,IF(DATA!$D$36="NO CHANGE",Q6,IFERROR(IF(VALUE(DATA!$D$36)=VALUE(B7),DATA!$E$36,Q6),0))))</f>
        <v>7421</v>
      </c>
      <c r="R7" s="816">
        <f>IF(DATA!$D$37="",0,IF(DATA!$D$37="NO CHANGE",R6,IFERROR(IF(VALUE(DATA!$D$37)=VALUE(B7),DATA!$E$37,R6),0)))</f>
        <v>2500</v>
      </c>
      <c r="S7" s="816">
        <f>IF(DATA!$D$38="",0,IF(DATA!$D$38="NO CHANGE",S6,IFERROR(IF(VALUE(DATA!$D$38)=VALUE(B7),DATA!$E$38,S6),0)))</f>
        <v>60</v>
      </c>
      <c r="T7" s="815">
        <f>IF(DATA!$D$39="",0,IF(DATA!$D$39="NO CHANGE",T6,IFERROR(IF(VALUE(DATA!$D$39)=VALUE(B7),DATA!$E$39,T6),0)))</f>
        <v>200</v>
      </c>
      <c r="U7" s="815">
        <f>IF(DATA!$D$40="",0,IF(DATA!$D$40="NO CHANGE",U6,IFERROR(IF(VALUE(DATA!$D$40)=VALUE(B7),DATA!$E$40,U6),0)))</f>
        <v>225</v>
      </c>
      <c r="V7" s="815"/>
      <c r="W7" s="815">
        <f>IF(DATA!$D$41="",0,IF(DATA!$D$41="NO CHANGE",W6,IFERROR(IF(VALUE(DATA!$D$41)=VALUE(B7),DATA!$E$41,W6),0)))</f>
        <v>0</v>
      </c>
      <c r="X7" s="815">
        <f>IFERROR(DATA!K5,0)</f>
        <v>0</v>
      </c>
      <c r="Y7" s="815">
        <f>IFERROR(DATA!H5,0)</f>
        <v>0</v>
      </c>
      <c r="Z7" s="75">
        <f t="shared" si="2"/>
        <v>10406</v>
      </c>
      <c r="AA7" s="75">
        <f t="shared" si="3"/>
        <v>69510</v>
      </c>
      <c r="AB7" s="403">
        <f>KEY!X5</f>
        <v>0.1</v>
      </c>
      <c r="AC7" s="404">
        <f>KEY!W5</f>
        <v>0.3367</v>
      </c>
      <c r="AD7" s="812"/>
      <c r="AE7" s="23"/>
      <c r="AF7" s="21"/>
    </row>
    <row r="8" spans="2:32" ht="18.95" customHeight="1" x14ac:dyDescent="0.25">
      <c r="B8" s="551">
        <f>DATA!G6</f>
        <v>45809</v>
      </c>
      <c r="C8" s="815">
        <f>KEY!R32</f>
        <v>55520</v>
      </c>
      <c r="D8" s="815">
        <f>ROUND(C8*KEY!W6,0)</f>
        <v>18694</v>
      </c>
      <c r="E8" s="815">
        <f>IF(KEY!X6=10%,MIN(ROUND(C8*KEY!X6,0),11000),IF(KEY!X6=12%,MIN(ROUND(C8*KEY!X6,0),13000),
   IF(KEY!X6=16%,MIN(ROUND(C8*KEY!X6,0),17000),MIN(ROUND(C8*KEY!X6,0),25000))))</f>
        <v>5552</v>
      </c>
      <c r="F8" s="815">
        <f>ROUND(C8*KEY!Z6,0)</f>
        <v>0</v>
      </c>
      <c r="G8" s="815">
        <f>IF(DATA!$D$31="",0,IF(DATA!$D$31="NO CHANGE",G7,IFERROR(IF(VALUE(DATA!$D$31)=VALUE(B8),DATA!$E$31,G7),0)))</f>
        <v>150</v>
      </c>
      <c r="H8" s="815">
        <f>KEY!Y6</f>
        <v>0</v>
      </c>
      <c r="I8" s="815">
        <f>DATA!I6</f>
        <v>0</v>
      </c>
      <c r="J8" s="815">
        <f t="shared" si="0"/>
        <v>0</v>
      </c>
      <c r="K8" s="815">
        <f>IF(DATA!$D$32="",0,IF(DATA!$D$32="NO CHANGE",K7,IFERROR(IF(VALUE(DATA!$D$32)=VALUE(B8),DATA!$E$32,K7),0)))</f>
        <v>0</v>
      </c>
      <c r="L8" s="815">
        <f>IF(DATA!$D$33="",0,IF(DATA!$D$33="NO CHANGE",L7,IFERROR(IF(VALUE(DATA!$D$33)=VALUE(B8),DATA!$E$33,L7),0)))</f>
        <v>0</v>
      </c>
      <c r="M8" s="816">
        <f>IF(DATA!$D$34="",0,IF(DATA!$D$34="NO CHANGE",M7,IFERROR(IF(VALUE(DATA!$D$34)=VALUE(B8),DATA!$E$34,M7),0)))</f>
        <v>0</v>
      </c>
      <c r="N8" s="816">
        <f>IF(DATA!$D$35="",0,IF(DATA!$D$35="NO CHANGE",N7,IFERROR(IF(VALUE(DATA!$D$35)=VALUE(B8),DATA!$E$35,N7),0)))</f>
        <v>0</v>
      </c>
      <c r="O8" s="815">
        <f>IFERROR(DATA!J6,0)</f>
        <v>0</v>
      </c>
      <c r="P8" s="76">
        <f t="shared" si="1"/>
        <v>79916</v>
      </c>
      <c r="Q8" s="815">
        <f>IF(DATA!$D$5="CPS",ROUND(('ANNEXURE I'!C8+'ANNEXURE I'!D8)*10%,0),IF(DATA!$D$36="",0,IF(DATA!$D$36="NO CHANGE",Q7,IFERROR(IF(VALUE(DATA!$D$36)=VALUE(B8),DATA!$E$36,Q7),0))))</f>
        <v>7421</v>
      </c>
      <c r="R8" s="816">
        <f>IF(DATA!$D$37="",0,IF(DATA!$D$37="NO CHANGE",R7,IFERROR(IF(VALUE(DATA!$D$37)=VALUE(B8),DATA!$E$37,R7),0)))</f>
        <v>2500</v>
      </c>
      <c r="S8" s="816">
        <f>IF(DATA!$D$38="",0,IF(DATA!$D$38="NO CHANGE",S7,IFERROR(IF(VALUE(DATA!$D$38)=VALUE(B8),DATA!$E$38,S7),0)))</f>
        <v>60</v>
      </c>
      <c r="T8" s="815">
        <f>IF(DATA!$D$39="",0,IF(DATA!$D$39="NO CHANGE",T7,IFERROR(IF(VALUE(DATA!$D$39)=VALUE(B8),DATA!$E$39,T7),0)))</f>
        <v>200</v>
      </c>
      <c r="U8" s="815">
        <f>IF(DATA!$D$40="",0,IF(DATA!$D$40="NO CHANGE",U7,IFERROR(IF(VALUE(DATA!$D$40)=VALUE(B8),DATA!$E$40,U7),0)))</f>
        <v>225</v>
      </c>
      <c r="V8" s="815"/>
      <c r="W8" s="815">
        <f>IF(DATA!$D$41="",0,IF(DATA!$D$41="NO CHANGE",W7,IFERROR(IF(VALUE(DATA!$D$41)=VALUE(B8),DATA!$E$41,W7),0)))</f>
        <v>0</v>
      </c>
      <c r="X8" s="815">
        <f>IFERROR(DATA!K6,0)</f>
        <v>0</v>
      </c>
      <c r="Y8" s="815">
        <f>IFERROR(DATA!H6,0)</f>
        <v>0</v>
      </c>
      <c r="Z8" s="75">
        <f t="shared" si="2"/>
        <v>10406</v>
      </c>
      <c r="AA8" s="75">
        <f t="shared" si="3"/>
        <v>69510</v>
      </c>
      <c r="AB8" s="403">
        <f>KEY!X6</f>
        <v>0.1</v>
      </c>
      <c r="AC8" s="404">
        <f>KEY!W6</f>
        <v>0.3367</v>
      </c>
      <c r="AD8" s="812"/>
      <c r="AE8" s="23"/>
      <c r="AF8" s="21"/>
    </row>
    <row r="9" spans="2:32" ht="18.95" customHeight="1" x14ac:dyDescent="0.25">
      <c r="B9" s="551">
        <f>DATA!G7</f>
        <v>45839</v>
      </c>
      <c r="C9" s="815">
        <f>KEY!R33</f>
        <v>55520</v>
      </c>
      <c r="D9" s="815">
        <f>ROUND(C9*KEY!W7,0)</f>
        <v>18694</v>
      </c>
      <c r="E9" s="815">
        <f>IF(KEY!X7=10%,MIN(ROUND(C9*KEY!X7,0),11000),IF(KEY!X7=12%,MIN(ROUND(C9*KEY!X7,0),13000),
   IF(KEY!X7=16%,MIN(ROUND(C9*KEY!X7,0),17000),MIN(ROUND(C9*KEY!X7,0),25000))))</f>
        <v>5552</v>
      </c>
      <c r="F9" s="815">
        <f>ROUND(C9*KEY!Z7,0)</f>
        <v>0</v>
      </c>
      <c r="G9" s="815">
        <f>IF(DATA!$D$31="",0,IF(DATA!$D$31="NO CHANGE",G8,IFERROR(IF(VALUE(DATA!$D$31)=VALUE(B9),DATA!$E$31,G8),0)))</f>
        <v>150</v>
      </c>
      <c r="H9" s="815">
        <f>KEY!Y7</f>
        <v>0</v>
      </c>
      <c r="I9" s="815">
        <f>DATA!I7</f>
        <v>0</v>
      </c>
      <c r="J9" s="815">
        <f t="shared" si="0"/>
        <v>0</v>
      </c>
      <c r="K9" s="815">
        <f>IF(DATA!$D$32="",0,IF(DATA!$D$32="NO CHANGE",K8,IFERROR(IF(VALUE(DATA!$D$32)=VALUE(B9),DATA!$E$32,K8),0)))</f>
        <v>0</v>
      </c>
      <c r="L9" s="815">
        <f>IF(DATA!$D$33="",0,IF(DATA!$D$33="NO CHANGE",L8,IFERROR(IF(VALUE(DATA!$D$33)=VALUE(B9),DATA!$E$33,L8),0)))</f>
        <v>0</v>
      </c>
      <c r="M9" s="816">
        <f>IF(DATA!$D$34="",0,IF(DATA!$D$34="NO CHANGE",M8,IFERROR(IF(VALUE(DATA!$D$34)=VALUE(B9),DATA!$E$34,M8),0)))</f>
        <v>0</v>
      </c>
      <c r="N9" s="816">
        <f>IF(DATA!$D$35="",0,IF(DATA!$D$35="NO CHANGE",N8,IFERROR(IF(VALUE(DATA!$D$35)=VALUE(B9),DATA!$E$35,N8),0)))</f>
        <v>0</v>
      </c>
      <c r="O9" s="815">
        <f>IFERROR(DATA!J7,0)</f>
        <v>0</v>
      </c>
      <c r="P9" s="76">
        <f t="shared" si="1"/>
        <v>79916</v>
      </c>
      <c r="Q9" s="815">
        <f>IF(DATA!$D$5="CPS",ROUND(('ANNEXURE I'!C9+'ANNEXURE I'!D9)*10%,0),IF(DATA!$D$36="",0,IF(DATA!$D$36="NO CHANGE",Q8,IFERROR(IF(VALUE(DATA!$D$36)=VALUE(B9),DATA!$E$36,Q8),0))))</f>
        <v>7421</v>
      </c>
      <c r="R9" s="816">
        <f>IF(DATA!$D$37="",0,IF(DATA!$D$37="NO CHANGE",R8,IFERROR(IF(VALUE(DATA!$D$37)=VALUE(B9),DATA!$E$37,R8),0)))</f>
        <v>2500</v>
      </c>
      <c r="S9" s="816">
        <f>IF(DATA!$D$38="",0,IF(DATA!$D$38="NO CHANGE",S8,IFERROR(IF(VALUE(DATA!$D$38)=VALUE(B9),DATA!$E$38,S8),0)))</f>
        <v>60</v>
      </c>
      <c r="T9" s="815">
        <f>IF(DATA!$D$39="",0,IF(DATA!$D$39="NO CHANGE",T8,IFERROR(IF(VALUE(DATA!$D$39)=VALUE(B9),DATA!$E$39,T8),0)))</f>
        <v>200</v>
      </c>
      <c r="U9" s="815">
        <f>IF(DATA!$D$40="",0,IF(DATA!$D$40="NO CHANGE",U8,IFERROR(IF(VALUE(DATA!$D$40)=VALUE(B9),DATA!$E$40,U8),0)))</f>
        <v>225</v>
      </c>
      <c r="V9" s="815"/>
      <c r="W9" s="815">
        <f>IF(DATA!$D$41="",0,IF(DATA!$D$41="NO CHANGE",W8,IFERROR(IF(VALUE(DATA!$D$41)=VALUE(B9),DATA!$E$41,W8),0)))</f>
        <v>0</v>
      </c>
      <c r="X9" s="815">
        <f>IFERROR(DATA!K7,0)</f>
        <v>0</v>
      </c>
      <c r="Y9" s="815">
        <f>IFERROR(DATA!H7,0)</f>
        <v>0</v>
      </c>
      <c r="Z9" s="75">
        <f t="shared" si="2"/>
        <v>10406</v>
      </c>
      <c r="AA9" s="75">
        <f t="shared" si="3"/>
        <v>69510</v>
      </c>
      <c r="AB9" s="403">
        <f>KEY!X7</f>
        <v>0.1</v>
      </c>
      <c r="AC9" s="404">
        <f>KEY!W7</f>
        <v>0.3367</v>
      </c>
      <c r="AD9" s="812"/>
      <c r="AE9" s="23"/>
      <c r="AF9" s="21"/>
    </row>
    <row r="10" spans="2:32" ht="18.95" customHeight="1" x14ac:dyDescent="0.25">
      <c r="B10" s="551">
        <f>DATA!G8</f>
        <v>45870</v>
      </c>
      <c r="C10" s="815">
        <f>KEY!R34</f>
        <v>55520</v>
      </c>
      <c r="D10" s="815">
        <f>ROUND(C10*KEY!W8,0)</f>
        <v>18694</v>
      </c>
      <c r="E10" s="815">
        <f>IF(KEY!X8=10%,MIN(ROUND(C10*KEY!X8,0),11000),IF(KEY!X8=12%,MIN(ROUND(C10*KEY!X8,0),13000),
   IF(KEY!X8=16%,MIN(ROUND(C10*KEY!X8,0),17000),MIN(ROUND(C10*KEY!X8,0),25000))))</f>
        <v>5552</v>
      </c>
      <c r="F10" s="815">
        <f>ROUND(C10*KEY!Z8,0)</f>
        <v>0</v>
      </c>
      <c r="G10" s="815">
        <f>IF(DATA!$D$31="",0,IF(DATA!$D$31="NO CHANGE",G9,IFERROR(IF(VALUE(DATA!$D$31)=VALUE(B10),DATA!$E$31,G9),0)))</f>
        <v>150</v>
      </c>
      <c r="H10" s="815">
        <f>KEY!Y8</f>
        <v>0</v>
      </c>
      <c r="I10" s="815">
        <f>DATA!I8</f>
        <v>0</v>
      </c>
      <c r="J10" s="815">
        <f t="shared" si="0"/>
        <v>0</v>
      </c>
      <c r="K10" s="815">
        <f>IF(DATA!$D$32="",0,IF(DATA!$D$32="NO CHANGE",K9,IFERROR(IF(VALUE(DATA!$D$32)=VALUE(B10),DATA!$E$32,K9),0)))</f>
        <v>0</v>
      </c>
      <c r="L10" s="815">
        <f>IF(DATA!$D$33="",0,IF(DATA!$D$33="NO CHANGE",L9,IFERROR(IF(VALUE(DATA!$D$33)=VALUE(B10),DATA!$E$33,L9),0)))</f>
        <v>0</v>
      </c>
      <c r="M10" s="816">
        <f>IF(DATA!$D$34="",0,IF(DATA!$D$34="NO CHANGE",M9,IFERROR(IF(VALUE(DATA!$D$34)=VALUE(B10),DATA!$E$34,M9),0)))</f>
        <v>0</v>
      </c>
      <c r="N10" s="816">
        <f>IF(DATA!$D$35="",0,IF(DATA!$D$35="NO CHANGE",N9,IFERROR(IF(VALUE(DATA!$D$35)=VALUE(B10),DATA!$E$35,N9),0)))</f>
        <v>0</v>
      </c>
      <c r="O10" s="815">
        <f>IFERROR(DATA!J8,0)</f>
        <v>0</v>
      </c>
      <c r="P10" s="76">
        <f t="shared" si="1"/>
        <v>79916</v>
      </c>
      <c r="Q10" s="815">
        <f>IF(DATA!$D$5="CPS",ROUND(('ANNEXURE I'!C10+'ANNEXURE I'!D10)*10%,0),IF(DATA!$D$36="",0,IF(DATA!$D$36="NO CHANGE",Q9,IFERROR(IF(VALUE(DATA!$D$36)=VALUE(B10),DATA!$E$36,Q9),0))))</f>
        <v>7421</v>
      </c>
      <c r="R10" s="816">
        <f>IF(DATA!$D$37="",0,IF(DATA!$D$37="NO CHANGE",R9,IFERROR(IF(VALUE(DATA!$D$37)=VALUE(B10),DATA!$E$37,R9),0)))</f>
        <v>2500</v>
      </c>
      <c r="S10" s="816">
        <f>IF(DATA!$D$38="",0,IF(DATA!$D$38="NO CHANGE",S9,IFERROR(IF(VALUE(DATA!$D$38)=VALUE(B10),DATA!$E$38,S9),0)))</f>
        <v>60</v>
      </c>
      <c r="T10" s="815">
        <f>IF(DATA!$D$39="",0,IF(DATA!$D$39="NO CHANGE",T9,IFERROR(IF(VALUE(DATA!$D$39)=VALUE(B10),DATA!$E$39,T9),0)))</f>
        <v>200</v>
      </c>
      <c r="U10" s="815">
        <f>IF(DATA!$D$40="",0,IF(DATA!$D$40="NO CHANGE",U9,IFERROR(IF(VALUE(DATA!$D$40)=VALUE(B10),DATA!$E$40,U9),0)))</f>
        <v>225</v>
      </c>
      <c r="V10" s="815"/>
      <c r="W10" s="815">
        <f>IF(DATA!$D$41="",0,IF(DATA!$D$41="NO CHANGE",W9,IFERROR(IF(VALUE(DATA!$D$41)=VALUE(B10),DATA!$E$41,W9),0)))</f>
        <v>0</v>
      </c>
      <c r="X10" s="815">
        <f>IFERROR(DATA!K8,0)</f>
        <v>0</v>
      </c>
      <c r="Y10" s="815">
        <f>IFERROR(DATA!H8,0)</f>
        <v>0</v>
      </c>
      <c r="Z10" s="75">
        <f t="shared" si="2"/>
        <v>10406</v>
      </c>
      <c r="AA10" s="75">
        <f t="shared" si="3"/>
        <v>69510</v>
      </c>
      <c r="AB10" s="403">
        <f>KEY!X8</f>
        <v>0.1</v>
      </c>
      <c r="AC10" s="404">
        <f>KEY!W8</f>
        <v>0.3367</v>
      </c>
      <c r="AD10" s="812"/>
      <c r="AE10" s="23"/>
      <c r="AF10" s="21"/>
    </row>
    <row r="11" spans="2:32" ht="18.95" customHeight="1" x14ac:dyDescent="0.25">
      <c r="B11" s="551">
        <f>DATA!G9</f>
        <v>45901</v>
      </c>
      <c r="C11" s="815">
        <f>KEY!R35</f>
        <v>55520</v>
      </c>
      <c r="D11" s="815">
        <f>ROUND(C11*KEY!W9,0)</f>
        <v>18694</v>
      </c>
      <c r="E11" s="815">
        <f>IF(KEY!X9=10%,MIN(ROUND(C11*KEY!X9,0),11000),IF(KEY!X9=12%,MIN(ROUND(C11*KEY!X9,0),13000),
   IF(KEY!X9=16%,MIN(ROUND(C11*KEY!X9,0),17000),MIN(ROUND(C11*KEY!X9,0),25000))))</f>
        <v>5552</v>
      </c>
      <c r="F11" s="815">
        <f>ROUND(C11*KEY!Z9,0)</f>
        <v>0</v>
      </c>
      <c r="G11" s="815">
        <f>IF(DATA!$D$31="",0,IF(DATA!$D$31="NO CHANGE",G10,IFERROR(IF(VALUE(DATA!$D$31)=VALUE(B11),DATA!$E$31,G10),0)))</f>
        <v>150</v>
      </c>
      <c r="H11" s="815">
        <f>KEY!Y9</f>
        <v>0</v>
      </c>
      <c r="I11" s="815">
        <f>DATA!I9</f>
        <v>0</v>
      </c>
      <c r="J11" s="815">
        <f t="shared" si="0"/>
        <v>0</v>
      </c>
      <c r="K11" s="815">
        <f>IF(DATA!$D$32="",0,IF(DATA!$D$32="NO CHANGE",K10,IFERROR(IF(VALUE(DATA!$D$32)=VALUE(B11),DATA!$E$32,K10),0)))</f>
        <v>0</v>
      </c>
      <c r="L11" s="815">
        <f>IF(DATA!$D$33="",0,IF(DATA!$D$33="NO CHANGE",L10,IFERROR(IF(VALUE(DATA!$D$33)=VALUE(B11),DATA!$E$33,L10),0)))</f>
        <v>0</v>
      </c>
      <c r="M11" s="816">
        <f>IF(DATA!$D$34="",0,IF(DATA!$D$34="NO CHANGE",M10,IFERROR(IF(VALUE(DATA!$D$34)=VALUE(B11),DATA!$E$34,M10),0)))</f>
        <v>0</v>
      </c>
      <c r="N11" s="816">
        <f>IF(DATA!$D$35="",0,IF(DATA!$D$35="NO CHANGE",N10,IFERROR(IF(VALUE(DATA!$D$35)=VALUE(B11),DATA!$E$35,N10),0)))</f>
        <v>0</v>
      </c>
      <c r="O11" s="815">
        <f>IFERROR(DATA!J9,0)</f>
        <v>0</v>
      </c>
      <c r="P11" s="76">
        <f t="shared" si="1"/>
        <v>79916</v>
      </c>
      <c r="Q11" s="815">
        <f>IF(DATA!$D$5="CPS",ROUND(('ANNEXURE I'!C11+'ANNEXURE I'!D11)*10%,0),IF(DATA!$D$36="",0,IF(DATA!$D$36="NO CHANGE",Q10,IFERROR(IF(VALUE(DATA!$D$36)=VALUE(B11),DATA!$E$36,Q10),0))))</f>
        <v>7421</v>
      </c>
      <c r="R11" s="816">
        <f>IF(DATA!$D$37="",0,IF(DATA!$D$37="NO CHANGE",R10,IFERROR(IF(VALUE(DATA!$D$37)=VALUE(B11),DATA!$E$37,R10),0)))</f>
        <v>2500</v>
      </c>
      <c r="S11" s="816">
        <f>IF(DATA!$D$38="",0,IF(DATA!$D$38="NO CHANGE",S10,IFERROR(IF(VALUE(DATA!$D$38)=VALUE(B11),DATA!$E$38,S10),0)))</f>
        <v>60</v>
      </c>
      <c r="T11" s="815">
        <f>IF(DATA!$D$39="",0,IF(DATA!$D$39="NO CHANGE",T10,IFERROR(IF(VALUE(DATA!$D$39)=VALUE(B11),DATA!$E$39,T10),0)))</f>
        <v>200</v>
      </c>
      <c r="U11" s="815">
        <f>IF(DATA!$D$40="",0,IF(DATA!$D$40="NO CHANGE",U10,IFERROR(IF(VALUE(DATA!$D$40)=VALUE(B11),DATA!$E$40,U10),0)))</f>
        <v>225</v>
      </c>
      <c r="V11" s="815"/>
      <c r="W11" s="815">
        <f>IF(DATA!$D$41="",0,IF(DATA!$D$41="NO CHANGE",W10,IFERROR(IF(VALUE(DATA!$D$41)=VALUE(B11),DATA!$E$41,W10),0)))</f>
        <v>0</v>
      </c>
      <c r="X11" s="815">
        <f>IFERROR(DATA!K9,0)</f>
        <v>0</v>
      </c>
      <c r="Y11" s="815">
        <f>IFERROR(DATA!H9,0)</f>
        <v>0</v>
      </c>
      <c r="Z11" s="75">
        <f t="shared" si="2"/>
        <v>10406</v>
      </c>
      <c r="AA11" s="75">
        <f>P11-Z11</f>
        <v>69510</v>
      </c>
      <c r="AB11" s="403">
        <f>KEY!X9</f>
        <v>0.1</v>
      </c>
      <c r="AC11" s="404">
        <f>KEY!W9</f>
        <v>0.3367</v>
      </c>
      <c r="AD11" s="804"/>
      <c r="AE11" s="23"/>
      <c r="AF11" s="21"/>
    </row>
    <row r="12" spans="2:32" ht="18.95" customHeight="1" x14ac:dyDescent="0.25">
      <c r="B12" s="551">
        <f>DATA!G10</f>
        <v>45931</v>
      </c>
      <c r="C12" s="815">
        <f>KEY!R36</f>
        <v>55520</v>
      </c>
      <c r="D12" s="815">
        <f>ROUND(C12*KEY!W10,0)</f>
        <v>20715</v>
      </c>
      <c r="E12" s="815">
        <f>IF(KEY!X10=10%,MIN(ROUND(C12*KEY!X10,0),11000),IF(KEY!X10=12%,MIN(ROUND(C12*KEY!X10,0),13000),
   IF(KEY!X10=16%,MIN(ROUND(C12*KEY!X10,0),17000),MIN(ROUND(C12*KEY!X10,0),25000))))</f>
        <v>5552</v>
      </c>
      <c r="F12" s="815">
        <f>ROUND(C12*KEY!Z10,0)</f>
        <v>0</v>
      </c>
      <c r="G12" s="815">
        <f>IF(DATA!$D$31="",0,IF(DATA!$D$31="NO CHANGE",G11,IFERROR(IF(VALUE(DATA!$D$31)=VALUE(B12),DATA!$E$31,G11),0)))</f>
        <v>150</v>
      </c>
      <c r="H12" s="815">
        <f>KEY!Y10</f>
        <v>0</v>
      </c>
      <c r="I12" s="815">
        <f>DATA!I10</f>
        <v>0</v>
      </c>
      <c r="J12" s="815">
        <f t="shared" si="0"/>
        <v>0</v>
      </c>
      <c r="K12" s="815">
        <f>IF(DATA!$D$32="",0,IF(DATA!$D$32="NO CHANGE",K11,IFERROR(IF(VALUE(DATA!$D$32)=VALUE(B12),DATA!$E$32,K11),0)))</f>
        <v>0</v>
      </c>
      <c r="L12" s="815">
        <f>IF(DATA!$D$33="",0,IF(DATA!$D$33="NO CHANGE",L11,IFERROR(IF(VALUE(DATA!$D$33)=VALUE(B12),DATA!$E$33,L11),0)))</f>
        <v>0</v>
      </c>
      <c r="M12" s="816">
        <f>IF(DATA!$D$34="",0,IF(DATA!$D$34="NO CHANGE",M11,IFERROR(IF(VALUE(DATA!$D$34)=VALUE(B12),DATA!$E$34,M11),0)))</f>
        <v>0</v>
      </c>
      <c r="N12" s="816">
        <f>IF(DATA!$D$35="",0,IF(DATA!$D$35="NO CHANGE",N11,IFERROR(IF(VALUE(DATA!$D$35)=VALUE(B12),DATA!$E$35,N11),0)))</f>
        <v>0</v>
      </c>
      <c r="O12" s="815">
        <f>IFERROR(DATA!J10,0)</f>
        <v>0</v>
      </c>
      <c r="P12" s="76">
        <f t="shared" si="1"/>
        <v>81937</v>
      </c>
      <c r="Q12" s="815">
        <f>IF(DATA!$D$5="CPS",ROUND(('ANNEXURE I'!C12+'ANNEXURE I'!D12)*10%,0),IF(DATA!$D$36="",0,IF(DATA!$D$36="NO CHANGE",Q11,IFERROR(IF(VALUE(DATA!$D$36)=VALUE(B12),DATA!$E$36,Q11),0))))</f>
        <v>7624</v>
      </c>
      <c r="R12" s="816">
        <f>IF(DATA!$D$37="",0,IF(DATA!$D$37="NO CHANGE",R11,IFERROR(IF(VALUE(DATA!$D$37)=VALUE(B12),DATA!$E$37,R11),0)))</f>
        <v>2500</v>
      </c>
      <c r="S12" s="816">
        <f>IF(DATA!$D$38="",0,IF(DATA!$D$38="NO CHANGE",S11,IFERROR(IF(VALUE(DATA!$D$38)=VALUE(B12),DATA!$E$38,S11),0)))</f>
        <v>60</v>
      </c>
      <c r="T12" s="815">
        <f>IF(DATA!$D$39="",0,IF(DATA!$D$39="NO CHANGE",T11,IFERROR(IF(VALUE(DATA!$D$39)=VALUE(B12),DATA!$E$39,T11),0)))</f>
        <v>200</v>
      </c>
      <c r="U12" s="815">
        <f>IF(DATA!$D$40="",0,IF(DATA!$D$40="NO CHANGE",U11,IFERROR(IF(VALUE(DATA!$D$40)=VALUE(B12),DATA!$E$40,U11),0)))</f>
        <v>225</v>
      </c>
      <c r="V12" s="815"/>
      <c r="W12" s="815">
        <f>IF(DATA!$D$41="",0,IF(DATA!$D$41="NO CHANGE",W11,IFERROR(IF(VALUE(DATA!$D$41)=VALUE(B12),DATA!$E$41,W11),0)))</f>
        <v>0</v>
      </c>
      <c r="X12" s="815">
        <f>IFERROR(DATA!K10,0)</f>
        <v>0</v>
      </c>
      <c r="Y12" s="815">
        <f>IFERROR(DATA!H10,0)</f>
        <v>0</v>
      </c>
      <c r="Z12" s="75">
        <f t="shared" si="2"/>
        <v>10609</v>
      </c>
      <c r="AA12" s="75">
        <f t="shared" si="3"/>
        <v>71328</v>
      </c>
      <c r="AB12" s="403">
        <f>KEY!X10</f>
        <v>0.1</v>
      </c>
      <c r="AC12" s="404">
        <f>KEY!W10</f>
        <v>0.37309999999999999</v>
      </c>
      <c r="AD12" s="804"/>
      <c r="AE12" s="23"/>
      <c r="AF12" s="21"/>
    </row>
    <row r="13" spans="2:32" ht="18.95" customHeight="1" x14ac:dyDescent="0.25">
      <c r="B13" s="551">
        <f>DATA!G11</f>
        <v>45962</v>
      </c>
      <c r="C13" s="815">
        <f>KEY!R37</f>
        <v>57100</v>
      </c>
      <c r="D13" s="815">
        <f>ROUND(C13*KEY!W11,0)</f>
        <v>21304</v>
      </c>
      <c r="E13" s="815">
        <f>IF(KEY!X11=10%,MIN(ROUND(C13*KEY!X11,0),11000),IF(KEY!X11=12%,MIN(ROUND(C13*KEY!X11,0),13000),
   IF(KEY!X11=16%,MIN(ROUND(C13*KEY!X11,0),17000),MIN(ROUND(C13*KEY!X11,0),25000))))</f>
        <v>5710</v>
      </c>
      <c r="F13" s="815">
        <f>ROUND(C13*KEY!Z11,0)</f>
        <v>0</v>
      </c>
      <c r="G13" s="815">
        <f>IF(DATA!$D$31="",0,IF(DATA!$D$31="NO CHANGE",G12,IFERROR(IF(VALUE(DATA!$D$31)=VALUE(B13),DATA!$E$31,G12),0)))</f>
        <v>150</v>
      </c>
      <c r="H13" s="815">
        <f>KEY!Y11</f>
        <v>0</v>
      </c>
      <c r="I13" s="815">
        <f>DATA!I11</f>
        <v>0</v>
      </c>
      <c r="J13" s="815">
        <f t="shared" si="0"/>
        <v>0</v>
      </c>
      <c r="K13" s="815">
        <f>IF(DATA!$D$32="",0,IF(DATA!$D$32="NO CHANGE",K12,IFERROR(IF(VALUE(DATA!$D$32)=VALUE(B13),DATA!$E$32,K12),0)))</f>
        <v>0</v>
      </c>
      <c r="L13" s="815">
        <f>IF(DATA!$D$33="",0,IF(DATA!$D$33="NO CHANGE",L12,IFERROR(IF(VALUE(DATA!$D$33)=VALUE(B13),DATA!$E$33,L12),0)))</f>
        <v>0</v>
      </c>
      <c r="M13" s="816">
        <f>IF(DATA!$D$34="",0,IF(DATA!$D$34="NO CHANGE",M12,IFERROR(IF(VALUE(DATA!$D$34)=VALUE(B13),DATA!$E$34,M12),0)))</f>
        <v>0</v>
      </c>
      <c r="N13" s="816">
        <f>IF(DATA!$D$35="",0,IF(DATA!$D$35="NO CHANGE",N12,IFERROR(IF(VALUE(DATA!$D$35)=VALUE(B13),DATA!$E$35,N12),0)))</f>
        <v>0</v>
      </c>
      <c r="O13" s="815">
        <f>IFERROR(DATA!J11,0)</f>
        <v>0</v>
      </c>
      <c r="P13" s="76">
        <f t="shared" si="1"/>
        <v>84264</v>
      </c>
      <c r="Q13" s="815">
        <f>IF(DATA!$D$5="CPS",ROUND(('ANNEXURE I'!C13+'ANNEXURE I'!D13)*10%,0),IF(DATA!$D$36="",0,IF(DATA!$D$36="NO CHANGE",Q12,IFERROR(IF(VALUE(DATA!$D$36)=VALUE(B13),DATA!$E$36,Q12),0))))</f>
        <v>7840</v>
      </c>
      <c r="R13" s="816">
        <f>IF(DATA!$D$37="",0,IF(DATA!$D$37="NO CHANGE",R12,IFERROR(IF(VALUE(DATA!$D$37)=VALUE(B13),DATA!$E$37,R12),0)))</f>
        <v>2500</v>
      </c>
      <c r="S13" s="816">
        <f>IF(DATA!$D$38="",0,IF(DATA!$D$38="NO CHANGE",S12,IFERROR(IF(VALUE(DATA!$D$38)=VALUE(B13),DATA!$E$38,S12),0)))</f>
        <v>60</v>
      </c>
      <c r="T13" s="815">
        <f>IF(DATA!$D$39="",0,IF(DATA!$D$39="NO CHANGE",T12,IFERROR(IF(VALUE(DATA!$D$39)=VALUE(B13),DATA!$E$39,T12),0)))</f>
        <v>200</v>
      </c>
      <c r="U13" s="815">
        <f>IF(DATA!$D$40="",0,IF(DATA!$D$40="NO CHANGE",U12,IFERROR(IF(VALUE(DATA!$D$40)=VALUE(B13),DATA!$E$40,U12),0)))</f>
        <v>225</v>
      </c>
      <c r="V13" s="815"/>
      <c r="W13" s="815">
        <f>IF(DATA!$D$41="",0,IF(DATA!$D$41="NO CHANGE",W12,IFERROR(IF(VALUE(DATA!$D$41)=VALUE(B13),DATA!$E$41,W12),0)))</f>
        <v>0</v>
      </c>
      <c r="X13" s="815">
        <f>IFERROR(DATA!K11,0)</f>
        <v>0</v>
      </c>
      <c r="Y13" s="815">
        <f>IFERROR(DATA!H11,0)</f>
        <v>0</v>
      </c>
      <c r="Z13" s="75">
        <f t="shared" si="2"/>
        <v>10825</v>
      </c>
      <c r="AA13" s="75">
        <f t="shared" si="3"/>
        <v>73439</v>
      </c>
      <c r="AB13" s="403">
        <f>KEY!X11</f>
        <v>0.1</v>
      </c>
      <c r="AC13" s="404">
        <f>KEY!W11</f>
        <v>0.37309999999999999</v>
      </c>
      <c r="AD13" s="804"/>
      <c r="AE13" s="23"/>
      <c r="AF13" s="21"/>
    </row>
    <row r="14" spans="2:32" ht="18.95" customHeight="1" x14ac:dyDescent="0.25">
      <c r="B14" s="551">
        <f>DATA!G12</f>
        <v>45992</v>
      </c>
      <c r="C14" s="815">
        <f>KEY!R38</f>
        <v>57100</v>
      </c>
      <c r="D14" s="815">
        <f>ROUND(C14*KEY!W12,0)</f>
        <v>21304</v>
      </c>
      <c r="E14" s="815">
        <f>IF(KEY!X12=10%,MIN(ROUND(C14*KEY!X12,0),11000),IF(KEY!X12=12%,MIN(ROUND(C14*KEY!X12,0),13000),
   IF(KEY!X12=16%,MIN(ROUND(C14*KEY!X12,0),17000),MIN(ROUND(C14*KEY!X12,0),25000))))</f>
        <v>5710</v>
      </c>
      <c r="F14" s="815">
        <f>ROUND(C14*KEY!Z12,0)</f>
        <v>0</v>
      </c>
      <c r="G14" s="815">
        <f>IF(DATA!$D$31="",0,IF(DATA!$D$31="NO CHANGE",G13,IFERROR(IF(VALUE(DATA!$D$31)=VALUE(B14),DATA!$E$31,G13),0)))</f>
        <v>150</v>
      </c>
      <c r="H14" s="815">
        <f>KEY!Y12</f>
        <v>0</v>
      </c>
      <c r="I14" s="815">
        <f>DATA!I12</f>
        <v>0</v>
      </c>
      <c r="J14" s="815">
        <f t="shared" si="0"/>
        <v>0</v>
      </c>
      <c r="K14" s="815">
        <f>IF(DATA!$D$32="",0,IF(DATA!$D$32="NO CHANGE",K13,IFERROR(IF(VALUE(DATA!$D$32)=VALUE(B14),DATA!$E$32,K13),0)))</f>
        <v>0</v>
      </c>
      <c r="L14" s="815">
        <f>IF(DATA!$D$33="",0,IF(DATA!$D$33="NO CHANGE",L13,IFERROR(IF(VALUE(DATA!$D$33)=VALUE(B14),DATA!$E$33,L13),0)))</f>
        <v>0</v>
      </c>
      <c r="M14" s="816">
        <f>IF(DATA!$D$34="",0,IF(DATA!$D$34="NO CHANGE",M13,IFERROR(IF(VALUE(DATA!$D$34)=VALUE(B14),DATA!$E$34,M13),0)))</f>
        <v>0</v>
      </c>
      <c r="N14" s="816">
        <f>IF(DATA!$D$35="",0,IF(DATA!$D$35="NO CHANGE",N13,IFERROR(IF(VALUE(DATA!$D$35)=VALUE(B14),DATA!$E$35,N13),0)))</f>
        <v>0</v>
      </c>
      <c r="O14" s="815">
        <f>IFERROR(DATA!J12,0)</f>
        <v>0</v>
      </c>
      <c r="P14" s="76">
        <f t="shared" si="1"/>
        <v>84264</v>
      </c>
      <c r="Q14" s="815">
        <f>IF(DATA!$D$5="CPS",ROUND(('ANNEXURE I'!C14+'ANNEXURE I'!D14)*10%,0),IF(DATA!$D$36="",0,IF(DATA!$D$36="NO CHANGE",Q13,IFERROR(IF(VALUE(DATA!$D$36)=VALUE(B14),DATA!$E$36,Q13),0))))</f>
        <v>7840</v>
      </c>
      <c r="R14" s="816">
        <f>IF(DATA!$D$37="",0,IF(DATA!$D$37="NO CHANGE",R13,IFERROR(IF(VALUE(DATA!$D$37)=VALUE(B14),DATA!$E$37,R13),0)))</f>
        <v>2500</v>
      </c>
      <c r="S14" s="816">
        <f>IF(DATA!$D$38="",0,IF(DATA!$D$38="NO CHANGE",S13,IFERROR(IF(VALUE(DATA!$D$38)=VALUE(B14),DATA!$E$38,S13),0)))</f>
        <v>60</v>
      </c>
      <c r="T14" s="815">
        <f>IF(DATA!$D$39="",0,IF(DATA!$D$39="NO CHANGE",T13,IFERROR(IF(VALUE(DATA!$D$39)=VALUE(B14),DATA!$E$39,T13),0)))</f>
        <v>200</v>
      </c>
      <c r="U14" s="815">
        <f>IF(DATA!$D$40="",0,IF(DATA!$D$40="NO CHANGE",U13,IFERROR(IF(VALUE(DATA!$D$40)=VALUE(B14),DATA!$E$40,U13),0)))</f>
        <v>225</v>
      </c>
      <c r="V14" s="815">
        <f>IFERROR(DATA!E42,0)</f>
        <v>100</v>
      </c>
      <c r="W14" s="815">
        <f>IF(DATA!$D$41="",0,IF(DATA!$D$41="NO CHANGE",W13,IFERROR(IF(VALUE(DATA!$D$41)=VALUE(B14),DATA!$E$41,W13),0)))</f>
        <v>0</v>
      </c>
      <c r="X14" s="815">
        <f>IFERROR(DATA!K12,0)</f>
        <v>0</v>
      </c>
      <c r="Y14" s="815">
        <f>IFERROR(DATA!H12,0)</f>
        <v>0</v>
      </c>
      <c r="Z14" s="75">
        <f t="shared" si="2"/>
        <v>10925</v>
      </c>
      <c r="AA14" s="75">
        <f t="shared" si="3"/>
        <v>73339</v>
      </c>
      <c r="AB14" s="403">
        <f>KEY!X12</f>
        <v>0.1</v>
      </c>
      <c r="AC14" s="404">
        <f>KEY!W12</f>
        <v>0.37309999999999999</v>
      </c>
      <c r="AD14" s="804"/>
      <c r="AE14" s="23"/>
      <c r="AF14" s="21"/>
    </row>
    <row r="15" spans="2:32" ht="18.95" customHeight="1" x14ac:dyDescent="0.25">
      <c r="B15" s="551">
        <f>DATA!G13</f>
        <v>46023</v>
      </c>
      <c r="C15" s="815">
        <f>KEY!R39</f>
        <v>57100</v>
      </c>
      <c r="D15" s="815">
        <f>ROUND(C15*KEY!W13,0)</f>
        <v>21304</v>
      </c>
      <c r="E15" s="815">
        <f>IF(KEY!X13=10%,MIN(ROUND(C15*KEY!X13,0),11000),IF(KEY!X13=12%,MIN(ROUND(C15*KEY!X13,0),13000),
   IF(KEY!X13=16%,MIN(ROUND(C15*KEY!X13,0),17000),MIN(ROUND(C15*KEY!X13,0),25000))))</f>
        <v>5710</v>
      </c>
      <c r="F15" s="815">
        <f>ROUND(C15*KEY!Z13,0)</f>
        <v>0</v>
      </c>
      <c r="G15" s="815">
        <f>IF(DATA!$D$31="",0,IF(DATA!$D$31="NO CHANGE",G14,IFERROR(IF(VALUE(DATA!$D$31)=VALUE(B15),DATA!$E$31,G14),0)))</f>
        <v>150</v>
      </c>
      <c r="H15" s="815">
        <f>KEY!Y13</f>
        <v>0</v>
      </c>
      <c r="I15" s="815">
        <f>DATA!I13</f>
        <v>0</v>
      </c>
      <c r="J15" s="815">
        <f t="shared" si="0"/>
        <v>0</v>
      </c>
      <c r="K15" s="815">
        <f>IF(DATA!$D$32="",0,IF(DATA!$D$32="NO CHANGE",K14,IFERROR(IF(VALUE(DATA!$D$32)=VALUE(B15),DATA!$E$32,K14),0)))</f>
        <v>0</v>
      </c>
      <c r="L15" s="815">
        <f>IF(DATA!$D$33="",0,IF(DATA!$D$33="NO CHANGE",L14,IFERROR(IF(VALUE(DATA!$D$33)=VALUE(B15),DATA!$E$33,L14),0)))</f>
        <v>0</v>
      </c>
      <c r="M15" s="816">
        <f>IF(DATA!$D$34="",0,IF(DATA!$D$34="NO CHANGE",M14,IFERROR(IF(VALUE(DATA!$D$34)=VALUE(B15),DATA!$E$34,M14),0)))</f>
        <v>0</v>
      </c>
      <c r="N15" s="816">
        <f>IF(DATA!$D$35="",0,IF(DATA!$D$35="NO CHANGE",N14,IFERROR(IF(VALUE(DATA!$D$35)=VALUE(B15),DATA!$E$35,N14),0)))</f>
        <v>0</v>
      </c>
      <c r="O15" s="815">
        <f>IFERROR(DATA!J13,0)</f>
        <v>0</v>
      </c>
      <c r="P15" s="76">
        <f t="shared" si="1"/>
        <v>84264</v>
      </c>
      <c r="Q15" s="815">
        <f>IF(DATA!$D$5="CPS",ROUND(('ANNEXURE I'!C15+'ANNEXURE I'!D15)*10%,0),IF(DATA!$D$36="",0,IF(DATA!$D$36="NO CHANGE",Q14,IFERROR(IF(VALUE(DATA!$D$36)=VALUE(B15),DATA!$E$36,Q14),0))))</f>
        <v>7840</v>
      </c>
      <c r="R15" s="816">
        <f>IF(DATA!$D$37="",0,IF(DATA!$D$37="NO CHANGE",R14,IFERROR(IF(VALUE(DATA!$D$37)=VALUE(B15),DATA!$E$37,R14),0)))</f>
        <v>2500</v>
      </c>
      <c r="S15" s="816">
        <f>IF(DATA!$D$38="",0,IF(DATA!$D$38="NO CHANGE",S14,IFERROR(IF(VALUE(DATA!$D$38)=VALUE(B15),DATA!$E$38,S14),0)))</f>
        <v>60</v>
      </c>
      <c r="T15" s="815">
        <f>IF(DATA!$D$39="",0,IF(DATA!$D$39="NO CHANGE",T14,IFERROR(IF(VALUE(DATA!$D$39)=VALUE(B15),DATA!$E$39,T14),0)))</f>
        <v>200</v>
      </c>
      <c r="U15" s="815">
        <f>IF(DATA!$D$40="",0,IF(DATA!$D$40="NO CHANGE",U14,IFERROR(IF(VALUE(DATA!$D$40)=VALUE(B15),DATA!$E$40,U14),0)))</f>
        <v>225</v>
      </c>
      <c r="V15" s="815"/>
      <c r="W15" s="815">
        <f>IF(DATA!$D$41="",0,IF(DATA!$D$41="NO CHANGE",W14,IFERROR(IF(VALUE(DATA!$D$41)=VALUE(B15),DATA!$E$41,W14),0)))</f>
        <v>0</v>
      </c>
      <c r="X15" s="815">
        <f>IFERROR(DATA!K13,0)</f>
        <v>0</v>
      </c>
      <c r="Y15" s="815">
        <f>IFERROR(DATA!H13,0)</f>
        <v>0</v>
      </c>
      <c r="Z15" s="75">
        <f t="shared" si="2"/>
        <v>10825</v>
      </c>
      <c r="AA15" s="75">
        <f t="shared" si="3"/>
        <v>73439</v>
      </c>
      <c r="AB15" s="403">
        <f>KEY!X13</f>
        <v>0.1</v>
      </c>
      <c r="AC15" s="404">
        <f>KEY!W13</f>
        <v>0.37309999999999999</v>
      </c>
      <c r="AD15" s="804"/>
      <c r="AE15" s="23"/>
      <c r="AF15" s="21"/>
    </row>
    <row r="16" spans="2:32" ht="18.95" customHeight="1" x14ac:dyDescent="0.25">
      <c r="B16" s="551">
        <f>DATA!G14</f>
        <v>46054</v>
      </c>
      <c r="C16" s="815">
        <f>KEY!R40</f>
        <v>57100</v>
      </c>
      <c r="D16" s="815">
        <f>ROUND(C16*KEY!W14,0)</f>
        <v>21304</v>
      </c>
      <c r="E16" s="815">
        <f>IF(KEY!X14=10%,MIN(ROUND(C16*KEY!X14,0),11000),IF(KEY!X14=12%,MIN(ROUND(C16*KEY!X14,0),13000),
   IF(KEY!X14=16%,MIN(ROUND(C16*KEY!X14,0),17000),MIN(ROUND(C16*KEY!X14,0),25000))))</f>
        <v>5710</v>
      </c>
      <c r="F16" s="815">
        <f>ROUND(C16*KEY!Z14,0)</f>
        <v>0</v>
      </c>
      <c r="G16" s="815">
        <f>IF(DATA!$D$31="",0,IF(DATA!$D$31="NO CHANGE",G15,IFERROR(IF(VALUE(DATA!$D$31)=VALUE(B16),DATA!$E$31,G15),0)))</f>
        <v>150</v>
      </c>
      <c r="H16" s="815">
        <f>KEY!Y14</f>
        <v>0</v>
      </c>
      <c r="I16" s="815">
        <f>DATA!I14</f>
        <v>0</v>
      </c>
      <c r="J16" s="815">
        <f t="shared" si="0"/>
        <v>0</v>
      </c>
      <c r="K16" s="815">
        <f>IF(DATA!$D$32="",0,IF(DATA!$D$32="NO CHANGE",K15,IFERROR(IF(VALUE(DATA!$D$32)=VALUE(B16),DATA!$E$32,K15),0)))</f>
        <v>0</v>
      </c>
      <c r="L16" s="815">
        <f>IF(DATA!$D$33="",0,IF(DATA!$D$33="NO CHANGE",L15,IFERROR(IF(VALUE(DATA!$D$33)=VALUE(B16),DATA!$E$33,L15),0)))</f>
        <v>0</v>
      </c>
      <c r="M16" s="816">
        <f>IF(DATA!$D$34="",0,IF(DATA!$D$34="NO CHANGE",M15,IFERROR(IF(VALUE(DATA!$D$34)=VALUE(B16),DATA!$E$34,M15),0)))</f>
        <v>0</v>
      </c>
      <c r="N16" s="816">
        <f>IF(DATA!$D$35="",0,IF(DATA!$D$35="NO CHANGE",N15,IFERROR(IF(VALUE(DATA!$D$35)=VALUE(B16),DATA!$E$35,N15),0)))</f>
        <v>0</v>
      </c>
      <c r="O16" s="815">
        <f>IFERROR(DATA!J14,0)</f>
        <v>0</v>
      </c>
      <c r="P16" s="76">
        <f t="shared" si="1"/>
        <v>84264</v>
      </c>
      <c r="Q16" s="815">
        <f>IF(DATA!$D$5="CPS",ROUND(('ANNEXURE I'!C16+'ANNEXURE I'!D16)*10%,0),IF(DATA!$D$36="",0,IF(DATA!$D$36="NO CHANGE",Q15,IFERROR(IF(VALUE(DATA!$D$36)=VALUE(B16),DATA!$E$36,Q15),0))))</f>
        <v>7840</v>
      </c>
      <c r="R16" s="816">
        <f>IF(DATA!$D$37="",0,IF(DATA!$D$37="NO CHANGE",R15,IFERROR(IF(VALUE(DATA!$D$37)=VALUE(B16),DATA!$E$37,R15),0)))</f>
        <v>2500</v>
      </c>
      <c r="S16" s="816">
        <f>IF(DATA!$D$38="",0,IF(DATA!$D$38="NO CHANGE",S15,IFERROR(IF(VALUE(DATA!$D$38)=VALUE(B16),DATA!$E$38,S15),0)))</f>
        <v>60</v>
      </c>
      <c r="T16" s="815">
        <f>IF(DATA!$D$39="",0,IF(DATA!$D$39="NO CHANGE",T15,IFERROR(IF(VALUE(DATA!$D$39)=VALUE(B16),DATA!$E$39,T15),0)))</f>
        <v>200</v>
      </c>
      <c r="U16" s="815">
        <f>IF(DATA!$D$40="",0,IF(DATA!$D$40="NO CHANGE",U15,IFERROR(IF(VALUE(DATA!$D$40)=VALUE(B16),DATA!$E$40,U15),0)))</f>
        <v>225</v>
      </c>
      <c r="V16" s="815"/>
      <c r="W16" s="815">
        <f>IF(DATA!$D$41="",0,IF(DATA!$D$41="NO CHANGE",W15,IFERROR(IF(VALUE(DATA!$D$41)=VALUE(B16),DATA!$E$41,W15),0)))</f>
        <v>0</v>
      </c>
      <c r="X16" s="815">
        <f>IFERROR(DATA!K14,0)</f>
        <v>0</v>
      </c>
      <c r="Y16" s="815">
        <f>IFERROR(DATA!H14,0)</f>
        <v>0</v>
      </c>
      <c r="Z16" s="75">
        <f t="shared" si="2"/>
        <v>10825</v>
      </c>
      <c r="AA16" s="75">
        <f>P16-Z16</f>
        <v>73439</v>
      </c>
      <c r="AB16" s="403">
        <f>KEY!X14</f>
        <v>0.1</v>
      </c>
      <c r="AC16" s="404">
        <f>KEY!W14</f>
        <v>0.37309999999999999</v>
      </c>
      <c r="AD16" s="804"/>
      <c r="AE16" s="23"/>
      <c r="AF16" s="21"/>
    </row>
    <row r="17" spans="2:31" ht="18.95" customHeight="1" x14ac:dyDescent="0.25">
      <c r="B17" s="407" t="str">
        <f>IF('A1(Editabe)'!$P$2="YES",'A1(Editabe)'!B19,"E.L.s")</f>
        <v>E.L.s</v>
      </c>
      <c r="C17" s="817">
        <f>IF(DATA!D13="N.A.",0,IF(DATA!D13="",0,IF(VALUE(DATA!D13)&gt;=VALUE('ANNEXURE I'!B5),KEY!Y44,0)))</f>
        <v>0</v>
      </c>
      <c r="D17" s="815">
        <f>IFERROR(ROUND(C17*AC17,0),0)</f>
        <v>0</v>
      </c>
      <c r="E17" s="815">
        <f>IF(AB17=10%,MIN(ROUND(C17*AB17,0),11000),IF(AB17=12%,MIN(ROUND(C17*AB17,0),13000), IF(AB17=16%,MIN(ROUND(C17*AB17,0),17000),IF(AB17=24%,MIN(ROUND(C17*AB17,0),25000),ROUND(C17*AB17,0)))))</f>
        <v>0</v>
      </c>
      <c r="F17" s="815"/>
      <c r="G17" s="815"/>
      <c r="H17" s="817">
        <f>IFERROR(IF(AND(VALUE(DATA!$D$13)&gt;=VALUE('ANNEXURE I'!$B$5),(DATA!$E$13=30)),LOOKUP(DATA!$D$13,$B$5:$B$16,H5:H16),IF(AND(VALUE(DATA!$D$13)&gt;=VALUE('ANNEXURE I'!$B$5),(DATA!$E$13=15)),LOOKUP(DATA!$D$13,$B$5:$B$16,H5:H16/2),0)),0)</f>
        <v>0</v>
      </c>
      <c r="I17" s="817">
        <f>IFERROR(IF(AND(VALUE(DATA!$D$13)&gt;=VALUE('ANNEXURE I'!$B$5),(DATA!$E$13=30)),LOOKUP(DATA!$D$13,$B$5:$B$16,I5:I16),IF(AND(VALUE(DATA!$D$13)&gt;=VALUE('ANNEXURE I'!$B$5),(DATA!$E$13=15)),LOOKUP(DATA!$D$13,$B$5:$B$16,I5:I16/2),0)),0)</f>
        <v>0</v>
      </c>
      <c r="J17" s="817">
        <f>IFERROR(IF(AND(VALUE(DATA!$D$13)&gt;=VALUE('ANNEXURE I'!$B$5),(DATA!$E$13=30)),LOOKUP(DATA!$D$13,$B$5:$B$16,J5:J16),IF(AND(VALUE(DATA!$D$13)&gt;=VALUE('ANNEXURE I'!$B$5),(DATA!$E$13=15)),LOOKUP(DATA!$D$13,$B$5:$B$16,J5:J16/2),0)),0)</f>
        <v>0</v>
      </c>
      <c r="K17" s="817">
        <f>IFERROR(IF(AND(VALUE(DATA!$D$13)&gt;=VALUE('ANNEXURE I'!$B$5),(DATA!$E$13=30)),LOOKUP(DATA!$D$13,$B$5:$B$16,K5:K16),IF(AND(VALUE(DATA!$D$13)&gt;=VALUE('ANNEXURE I'!$B$5),(DATA!$E$13=15)),LOOKUP(DATA!$D$13,$B$5:$B$16,K5:K16/2),0)),0)</f>
        <v>0</v>
      </c>
      <c r="L17" s="817"/>
      <c r="M17" s="817"/>
      <c r="N17" s="817"/>
      <c r="O17" s="817"/>
      <c r="P17" s="76">
        <f t="shared" si="1"/>
        <v>0</v>
      </c>
      <c r="Q17" s="996"/>
      <c r="R17" s="995"/>
      <c r="S17" s="406"/>
      <c r="T17" s="406"/>
      <c r="U17" s="406"/>
      <c r="V17" s="406"/>
      <c r="W17" s="406"/>
      <c r="X17" s="406"/>
      <c r="Y17" s="817"/>
      <c r="Z17" s="75">
        <f>SUM(Q17:Y17)</f>
        <v>0</v>
      </c>
      <c r="AA17" s="75">
        <f t="shared" ref="AA17:AA21" si="4">P17-Z17</f>
        <v>0</v>
      </c>
      <c r="AB17" s="403">
        <f>IFERROR(IF(VALUE(DATA!D13)&gt;=VALUE('ANNEXURE I'!B5),LOOKUP(KEY!W44,KEY!T3:T14,KEY!X3:X14),0),0)</f>
        <v>0</v>
      </c>
      <c r="AC17" s="404">
        <f>IFERROR(IF(VALUE(DATA!D13)&gt;=VALUE('ANNEXURE I'!B5),LOOKUP(KEY!W44,KEY!T3:T14,KEY!W3:W14),0),0)</f>
        <v>0</v>
      </c>
      <c r="AD17" s="804"/>
    </row>
    <row r="18" spans="2:31" ht="18.95" customHeight="1" x14ac:dyDescent="0.25">
      <c r="B18" s="326" t="str">
        <f>IF('A1(Editabe)'!$P$2="YES",'A1(Editabe)'!B20,"AAS Arrs")</f>
        <v>AAS Arrs</v>
      </c>
      <c r="C18" s="994">
        <f>KEY!Y46</f>
        <v>0</v>
      </c>
      <c r="D18" s="994">
        <f>IFERROR(ROUND(C18*AC18,0),0)</f>
        <v>0</v>
      </c>
      <c r="E18" s="994">
        <f>IF(AB18=10%,MIN(ROUND(C18*AB18,0),11000),
   IF(AB18=12%,MIN(ROUND(C18*AB18,0),13000),
   IF(AB18=16%,MIN(ROUND(C18*AB18,0),17000),
    IF(AB18=24%,MIN(ROUND(C18*AB18,0),25000),ROUND(C18*AB18,0)))))</f>
        <v>0</v>
      </c>
      <c r="F18" s="994"/>
      <c r="G18" s="999"/>
      <c r="H18" s="406"/>
      <c r="I18" s="406"/>
      <c r="J18" s="406"/>
      <c r="K18" s="406"/>
      <c r="L18" s="406"/>
      <c r="M18" s="406"/>
      <c r="N18" s="406"/>
      <c r="O18" s="817"/>
      <c r="P18" s="76">
        <f t="shared" si="1"/>
        <v>0</v>
      </c>
      <c r="Q18" s="996">
        <f>IF(DATA!D5="CPS",ROUND((C18+D18)/10,0),0)</f>
        <v>0</v>
      </c>
      <c r="R18" s="995"/>
      <c r="S18" s="406"/>
      <c r="T18" s="406"/>
      <c r="U18" s="406"/>
      <c r="V18" s="406"/>
      <c r="W18" s="406"/>
      <c r="X18" s="406"/>
      <c r="Y18" s="817"/>
      <c r="Z18" s="75">
        <f>SUM(Q18:Y18)</f>
        <v>0</v>
      </c>
      <c r="AA18" s="75">
        <f t="shared" ref="AA18" si="5">P18-Z18</f>
        <v>0</v>
      </c>
      <c r="AB18" s="403">
        <f>IF(DATA!D12="",0,IF(DATA!D12="N.A.",0,IF(AND(VALUE(DATA!D12)&gt;=VALUE(B5),VALUE(DATA!D12)&lt;=VALUE(B16)),KEY!T54,0)))</f>
        <v>0</v>
      </c>
      <c r="AC18" s="404">
        <f>IF(DATA!D12="",0,IF(DATA!D12="N.A.",0,IF(AND(VALUE(DATA!D12)&gt;=VALUE(B5),VALUE(DATA!D12)&lt;=VALUE(B16)),KEY!T53,0)))</f>
        <v>0</v>
      </c>
      <c r="AD18" s="804"/>
    </row>
    <row r="19" spans="2:31" ht="18.95" customHeight="1" x14ac:dyDescent="0.25">
      <c r="B19" s="408" t="str">
        <f>IF('A1(Editabe)'!$P$2="YES",'A1(Editabe)'!B21,"Tution Fees")</f>
        <v>Tution Fees</v>
      </c>
      <c r="C19" s="995"/>
      <c r="D19" s="996"/>
      <c r="E19" s="996"/>
      <c r="F19" s="996"/>
      <c r="G19" s="406"/>
      <c r="H19" s="406"/>
      <c r="I19" s="406"/>
      <c r="J19" s="406"/>
      <c r="K19" s="406"/>
      <c r="L19" s="406"/>
      <c r="M19" s="406"/>
      <c r="N19" s="406"/>
      <c r="O19" s="817"/>
      <c r="P19" s="405">
        <f>DATA!Q20+DATA!Q19</f>
        <v>0</v>
      </c>
      <c r="Q19" s="996"/>
      <c r="R19" s="995"/>
      <c r="S19" s="406"/>
      <c r="T19" s="406"/>
      <c r="U19" s="406"/>
      <c r="V19" s="406"/>
      <c r="W19" s="406"/>
      <c r="X19" s="406"/>
      <c r="Y19" s="817"/>
      <c r="Z19" s="75"/>
      <c r="AA19" s="75">
        <f t="shared" si="4"/>
        <v>0</v>
      </c>
      <c r="AB19" s="1185" t="str">
        <f t="shared" ref="AB19:AB24" si="6">B19</f>
        <v>Tution Fees</v>
      </c>
      <c r="AC19" s="1186"/>
      <c r="AD19" s="804"/>
    </row>
    <row r="20" spans="2:31" ht="18.95" customHeight="1" x14ac:dyDescent="0.25">
      <c r="B20" s="326" t="str">
        <f>IF('A1(Editabe)'!$P$2="YES",'A1(Editabe)'!B22,"DA Arrs 1")</f>
        <v>DA Arrs 1</v>
      </c>
      <c r="C20" s="997"/>
      <c r="D20" s="998"/>
      <c r="E20" s="997"/>
      <c r="F20" s="997"/>
      <c r="G20" s="1000"/>
      <c r="H20" s="1000"/>
      <c r="I20" s="1000"/>
      <c r="J20" s="1000"/>
      <c r="K20" s="1000"/>
      <c r="L20" s="1000"/>
      <c r="M20" s="1000"/>
      <c r="N20" s="1000"/>
      <c r="O20" s="818"/>
      <c r="P20" s="76">
        <f>SUM(C20:O20)</f>
        <v>0</v>
      </c>
      <c r="Q20" s="995"/>
      <c r="R20" s="995"/>
      <c r="S20" s="406"/>
      <c r="T20" s="406"/>
      <c r="U20" s="406"/>
      <c r="V20" s="406"/>
      <c r="W20" s="406"/>
      <c r="X20" s="406"/>
      <c r="Y20" s="817"/>
      <c r="Z20" s="75">
        <f>SUM(Q20:Y20)</f>
        <v>0</v>
      </c>
      <c r="AA20" s="75">
        <f>P20-Z20</f>
        <v>0</v>
      </c>
      <c r="AB20" s="1185" t="str">
        <f t="shared" si="6"/>
        <v>DA Arrs 1</v>
      </c>
      <c r="AC20" s="1186"/>
      <c r="AD20" s="804"/>
    </row>
    <row r="21" spans="2:31" ht="18.75" customHeight="1" x14ac:dyDescent="0.25">
      <c r="B21" s="326" t="str">
        <f>IF('A1(Editabe)'!$P$2="YES",'A1(Editabe)'!B23,"DA Arrs 2")</f>
        <v>DA Arrs 2</v>
      </c>
      <c r="C21" s="997"/>
      <c r="D21" s="997"/>
      <c r="E21" s="997"/>
      <c r="F21" s="997"/>
      <c r="G21" s="1000"/>
      <c r="H21" s="1000"/>
      <c r="I21" s="1000"/>
      <c r="J21" s="1000"/>
      <c r="K21" s="1000"/>
      <c r="L21" s="1000"/>
      <c r="M21" s="1000"/>
      <c r="N21" s="1000"/>
      <c r="O21" s="818"/>
      <c r="P21" s="76">
        <f>SUM(C21:O21)</f>
        <v>0</v>
      </c>
      <c r="Q21" s="995"/>
      <c r="R21" s="995"/>
      <c r="S21" s="406"/>
      <c r="T21" s="406"/>
      <c r="U21" s="406"/>
      <c r="V21" s="406"/>
      <c r="W21" s="406"/>
      <c r="X21" s="406"/>
      <c r="Y21" s="817"/>
      <c r="Z21" s="75">
        <f>SUM(Q21:Y21)</f>
        <v>0</v>
      </c>
      <c r="AA21" s="75">
        <f t="shared" si="4"/>
        <v>0</v>
      </c>
      <c r="AB21" s="1185" t="str">
        <f t="shared" si="6"/>
        <v>DA Arrs 2</v>
      </c>
      <c r="AC21" s="1186"/>
      <c r="AD21" s="804"/>
    </row>
    <row r="22" spans="2:31" ht="18.95" customHeight="1" x14ac:dyDescent="0.25">
      <c r="B22" s="326" t="str">
        <f>IF('A1(Editabe)'!$P$2="YES",'A1(Editabe)'!B24,"HRA Arrs")</f>
        <v>HRA Arrs</v>
      </c>
      <c r="C22" s="997"/>
      <c r="D22" s="997"/>
      <c r="E22" s="997"/>
      <c r="F22" s="997"/>
      <c r="G22" s="1000"/>
      <c r="H22" s="1000"/>
      <c r="I22" s="1000"/>
      <c r="J22" s="1000"/>
      <c r="K22" s="1000"/>
      <c r="L22" s="1000"/>
      <c r="M22" s="1000"/>
      <c r="N22" s="1000"/>
      <c r="O22" s="818"/>
      <c r="P22" s="76">
        <f>SUM(C22:O22)</f>
        <v>0</v>
      </c>
      <c r="Q22" s="995"/>
      <c r="R22" s="995"/>
      <c r="S22" s="406"/>
      <c r="T22" s="406"/>
      <c r="U22" s="406"/>
      <c r="V22" s="406"/>
      <c r="W22" s="406"/>
      <c r="X22" s="406"/>
      <c r="Y22" s="817"/>
      <c r="Z22" s="75">
        <f>SUM(Q22:Y22)</f>
        <v>0</v>
      </c>
      <c r="AA22" s="75">
        <f>P22-Z22</f>
        <v>0</v>
      </c>
      <c r="AB22" s="1185" t="str">
        <f t="shared" si="6"/>
        <v>HRA Arrs</v>
      </c>
      <c r="AC22" s="1186"/>
      <c r="AD22" s="804"/>
    </row>
    <row r="23" spans="2:31" ht="18.75" customHeight="1" x14ac:dyDescent="0.25">
      <c r="B23" s="326" t="str">
        <f>IF('A1(Editabe)'!$P$2="YES",'A1(Editabe)'!B25,"INC. Arrs")</f>
        <v>INC. Arrs</v>
      </c>
      <c r="C23" s="997"/>
      <c r="D23" s="997"/>
      <c r="E23" s="997"/>
      <c r="F23" s="997"/>
      <c r="G23" s="1000"/>
      <c r="H23" s="1000"/>
      <c r="I23" s="1000"/>
      <c r="J23" s="1000"/>
      <c r="K23" s="1000"/>
      <c r="L23" s="1000"/>
      <c r="M23" s="1000"/>
      <c r="N23" s="1000"/>
      <c r="O23" s="818"/>
      <c r="P23" s="76">
        <f>SUM(C23:O23)</f>
        <v>0</v>
      </c>
      <c r="Q23" s="995"/>
      <c r="R23" s="995"/>
      <c r="S23" s="406"/>
      <c r="T23" s="406"/>
      <c r="U23" s="406"/>
      <c r="V23" s="406"/>
      <c r="W23" s="406"/>
      <c r="X23" s="406"/>
      <c r="Y23" s="817"/>
      <c r="Z23" s="75">
        <f>SUM(Q23:Y23)</f>
        <v>0</v>
      </c>
      <c r="AA23" s="75">
        <f t="shared" ref="AA23:AA24" si="7">P23-Z23</f>
        <v>0</v>
      </c>
      <c r="AB23" s="1185" t="str">
        <f t="shared" si="6"/>
        <v>INC. Arrs</v>
      </c>
      <c r="AC23" s="1186"/>
      <c r="AD23" s="804"/>
    </row>
    <row r="24" spans="2:31" ht="18.95" customHeight="1" x14ac:dyDescent="0.25">
      <c r="B24" s="326" t="str">
        <f>IF('A1(Editabe)'!$P$2="YES",'A1(Editabe)'!B26,"PRO. Arrs")</f>
        <v>PRO. Arrs</v>
      </c>
      <c r="C24" s="997"/>
      <c r="D24" s="997"/>
      <c r="E24" s="997"/>
      <c r="F24" s="997"/>
      <c r="G24" s="1000"/>
      <c r="H24" s="1000"/>
      <c r="I24" s="1000"/>
      <c r="J24" s="1000"/>
      <c r="K24" s="1000"/>
      <c r="L24" s="1000"/>
      <c r="M24" s="1000"/>
      <c r="N24" s="1000"/>
      <c r="O24" s="818"/>
      <c r="P24" s="76">
        <f>SUM(C24:O24)</f>
        <v>0</v>
      </c>
      <c r="Q24" s="995"/>
      <c r="R24" s="995"/>
      <c r="S24" s="406"/>
      <c r="T24" s="406"/>
      <c r="U24" s="406"/>
      <c r="V24" s="406"/>
      <c r="W24" s="406"/>
      <c r="X24" s="406"/>
      <c r="Y24" s="817"/>
      <c r="Z24" s="75">
        <f>SUM(Q24:Y24)</f>
        <v>0</v>
      </c>
      <c r="AA24" s="75">
        <f t="shared" si="7"/>
        <v>0</v>
      </c>
      <c r="AB24" s="1185" t="str">
        <f t="shared" si="6"/>
        <v>PRO. Arrs</v>
      </c>
      <c r="AC24" s="1186"/>
      <c r="AD24" s="804"/>
    </row>
    <row r="25" spans="2:31" ht="18.95" customHeight="1" x14ac:dyDescent="0.25">
      <c r="B25" s="326" t="s">
        <v>175</v>
      </c>
      <c r="C25" s="997"/>
      <c r="D25" s="997"/>
      <c r="E25" s="997"/>
      <c r="F25" s="997"/>
      <c r="G25" s="1000"/>
      <c r="H25" s="1000"/>
      <c r="I25" s="1000"/>
      <c r="J25" s="1000"/>
      <c r="K25" s="1000"/>
      <c r="L25" s="1000"/>
      <c r="M25" s="1000"/>
      <c r="N25" s="1000"/>
      <c r="O25" s="818"/>
      <c r="P25" s="76">
        <f>SUM(C25:O25)+'10E DATA'!E23</f>
        <v>0</v>
      </c>
      <c r="Q25" s="995"/>
      <c r="R25" s="995"/>
      <c r="S25" s="406"/>
      <c r="T25" s="406"/>
      <c r="U25" s="406"/>
      <c r="V25" s="406"/>
      <c r="W25" s="406"/>
      <c r="X25" s="406"/>
      <c r="Y25" s="817"/>
      <c r="Z25" s="75"/>
      <c r="AA25" s="75"/>
      <c r="AB25" s="1185" t="str">
        <f t="shared" ref="AB25" si="8">B25</f>
        <v>Old Arrears</v>
      </c>
      <c r="AC25" s="1186"/>
      <c r="AD25" s="804"/>
    </row>
    <row r="26" spans="2:31" s="24" customFormat="1" ht="30" customHeight="1" x14ac:dyDescent="0.3">
      <c r="B26" s="264" t="s">
        <v>47</v>
      </c>
      <c r="C26" s="265">
        <f>SUM(C5:C25)</f>
        <v>672560</v>
      </c>
      <c r="D26" s="265">
        <f t="shared" ref="D26:AA26" si="9">SUM(D5:D25)</f>
        <v>236789</v>
      </c>
      <c r="E26" s="265">
        <f t="shared" si="9"/>
        <v>67256</v>
      </c>
      <c r="F26" s="265">
        <f t="shared" si="9"/>
        <v>0</v>
      </c>
      <c r="G26" s="472">
        <f t="shared" si="9"/>
        <v>1800</v>
      </c>
      <c r="H26" s="265">
        <f t="shared" si="9"/>
        <v>0</v>
      </c>
      <c r="I26" s="265">
        <f t="shared" si="9"/>
        <v>0</v>
      </c>
      <c r="J26" s="265">
        <f t="shared" si="9"/>
        <v>0</v>
      </c>
      <c r="K26" s="265">
        <f t="shared" si="9"/>
        <v>0</v>
      </c>
      <c r="L26" s="265">
        <f t="shared" si="9"/>
        <v>0</v>
      </c>
      <c r="M26" s="265">
        <f t="shared" si="9"/>
        <v>0</v>
      </c>
      <c r="N26" s="265">
        <f t="shared" si="9"/>
        <v>0</v>
      </c>
      <c r="O26" s="265">
        <f t="shared" si="9"/>
        <v>0</v>
      </c>
      <c r="P26" s="813">
        <f>SUM(P5:P25)</f>
        <v>978405</v>
      </c>
      <c r="Q26" s="265">
        <f t="shared" si="9"/>
        <v>90931</v>
      </c>
      <c r="R26" s="265">
        <f t="shared" si="9"/>
        <v>30000</v>
      </c>
      <c r="S26" s="265">
        <f t="shared" si="9"/>
        <v>720</v>
      </c>
      <c r="T26" s="265">
        <f t="shared" si="9"/>
        <v>2400</v>
      </c>
      <c r="U26" s="265">
        <f t="shared" si="9"/>
        <v>2700</v>
      </c>
      <c r="V26" s="265">
        <f t="shared" si="9"/>
        <v>150</v>
      </c>
      <c r="W26" s="265">
        <f t="shared" si="9"/>
        <v>0</v>
      </c>
      <c r="X26" s="265">
        <f t="shared" si="9"/>
        <v>0</v>
      </c>
      <c r="Y26" s="265">
        <f t="shared" si="9"/>
        <v>0</v>
      </c>
      <c r="Z26" s="724">
        <f t="shared" si="9"/>
        <v>126901</v>
      </c>
      <c r="AA26" s="724">
        <f t="shared" si="9"/>
        <v>851504</v>
      </c>
      <c r="AB26" s="1187"/>
      <c r="AC26" s="1188"/>
      <c r="AE26" s="25"/>
    </row>
    <row r="27" spans="2:31" s="24" customFormat="1" ht="15" customHeight="1" x14ac:dyDescent="0.3">
      <c r="B27" s="542" t="s">
        <v>47</v>
      </c>
      <c r="C27" s="543">
        <f>IFERROR(IF('A1(Editabe)'!$P$2="YES",'A1(Editabe)'!C28,'ANNEXURE I'!C26),'ANNEXURE I'!C26)</f>
        <v>672560</v>
      </c>
      <c r="D27" s="543">
        <f>IFERROR(IF('A1(Editabe)'!$P$2="YES",'A1(Editabe)'!D28,'ANNEXURE I'!D26),'ANNEXURE I'!D26)</f>
        <v>236789</v>
      </c>
      <c r="E27" s="543">
        <f>IFERROR(IF('A1(Editabe)'!$P$2="YES",'A1(Editabe)'!E28,'ANNEXURE I'!E26),'ANNEXURE I'!E26)</f>
        <v>67256</v>
      </c>
      <c r="F27" s="543"/>
      <c r="G27" s="543">
        <f>IFERROR(IF('A1(Editabe)'!$P$2="YES",'A1(Editabe)'!G28,'ANNEXURE I'!G26),'ANNEXURE I'!G26)</f>
        <v>1800</v>
      </c>
      <c r="H27" s="543">
        <f>IFERROR(IF('A1(Editabe)'!$P$2="YES",'A1(Editabe)'!H28,'ANNEXURE I'!H26),'ANNEXURE I'!H26)</f>
        <v>0</v>
      </c>
      <c r="I27" s="543">
        <f>IFERROR(IF('A1(Editabe)'!$P$2="YES",'A1(Editabe)'!I28,'ANNEXURE I'!I26),'ANNEXURE I'!I26)</f>
        <v>0</v>
      </c>
      <c r="J27" s="543">
        <f>IFERROR(IF('A1(Editabe)'!$P$2="YES",'A1(Editabe)'!J28,'ANNEXURE I'!J26),'ANNEXURE I'!J26)</f>
        <v>0</v>
      </c>
      <c r="K27" s="543">
        <f>IFERROR(IF('A1(Editabe)'!$P$2="YES",'A1(Editabe)'!K28,'ANNEXURE I'!K26),'ANNEXURE I'!K26)</f>
        <v>0</v>
      </c>
      <c r="L27" s="543">
        <f>IFERROR(IF('A1(Editabe)'!$P$2="YES",'A1(Editabe)'!L28,'ANNEXURE I'!L26),'ANNEXURE I'!L26)</f>
        <v>0</v>
      </c>
      <c r="M27" s="543">
        <f>IFERROR(IF('A1(Editabe)'!$P$2="YES",'A1(Editabe)'!M28,'ANNEXURE I'!M26),'ANNEXURE I'!M26)</f>
        <v>0</v>
      </c>
      <c r="N27" s="543">
        <f>IFERROR(IF('A1(Editabe)'!$P$2="YES",'A1(Editabe)'!N28,'ANNEXURE I'!N26),'ANNEXURE I'!N26)</f>
        <v>0</v>
      </c>
      <c r="O27" s="543">
        <f>IFERROR(IF('A1(Editabe)'!$P$2="YES",'A1(Editabe)'!O28,'ANNEXURE I'!O26),'ANNEXURE I'!O26)</f>
        <v>0</v>
      </c>
      <c r="P27" s="543">
        <f>IFERROR(IF('A1(Editabe)'!$P$2="YES",'A1(Editabe)'!P28,'ANNEXURE I'!P26),'ANNEXURE I'!P26)</f>
        <v>978405</v>
      </c>
      <c r="Q27" s="543">
        <f>IFERROR(IF('A1(Editabe)'!$P$2="YES",'A1(Editabe)'!Q28,'ANNEXURE I'!Q26),'ANNEXURE I'!Q26)</f>
        <v>90931</v>
      </c>
      <c r="R27" s="543">
        <f>IFERROR(IF('A1(Editabe)'!$P$2="YES",'A1(Editabe)'!R28,'ANNEXURE I'!R26),'ANNEXURE I'!R26)</f>
        <v>30000</v>
      </c>
      <c r="S27" s="543">
        <f>IFERROR(IF('A1(Editabe)'!$P$2="YES",'A1(Editabe)'!S28,'ANNEXURE I'!S26),'ANNEXURE I'!S26)</f>
        <v>720</v>
      </c>
      <c r="T27" s="543">
        <f>IFERROR(IF('A1(Editabe)'!$P$2="YES",'A1(Editabe)'!T28,'ANNEXURE I'!T26),'ANNEXURE I'!T26)</f>
        <v>2400</v>
      </c>
      <c r="U27" s="543">
        <f>IFERROR(IF('A1(Editabe)'!$P$2="YES",'A1(Editabe)'!U28,'ANNEXURE I'!U26),'ANNEXURE I'!U26)</f>
        <v>2700</v>
      </c>
      <c r="V27" s="543">
        <f>IFERROR(IF('A1(Editabe)'!$P$2="YES",'A1(Editabe)'!V28,'ANNEXURE I'!V26),'ANNEXURE I'!V26)</f>
        <v>150</v>
      </c>
      <c r="W27" s="543">
        <f>IFERROR(IF('A1(Editabe)'!$P$2="YES",'A1(Editabe)'!W28,'ANNEXURE I'!W26),'ANNEXURE I'!W26)</f>
        <v>0</v>
      </c>
      <c r="X27" s="543">
        <f>IFERROR(IF('A1(Editabe)'!$P$2="YES",'A1(Editabe)'!X28,'ANNEXURE I'!X26),'ANNEXURE I'!X26)</f>
        <v>0</v>
      </c>
      <c r="Y27" s="543">
        <f>IFERROR(IF('A1(Editabe)'!$P$2="YES",'A1(Editabe)'!Y28,'ANNEXURE I'!Y26),'ANNEXURE I'!Y26)</f>
        <v>0</v>
      </c>
      <c r="Z27" s="543">
        <f>IFERROR(IF('A1(Editabe)'!$P$2="YES",'A1(Editabe)'!Z28,'ANNEXURE I'!Z26),'ANNEXURE I'!Z26)</f>
        <v>126901</v>
      </c>
      <c r="AA27" s="543">
        <f>IFERROR(IF('A1(Editabe)'!$P$2="YES",'A1(Editabe)'!AA28,'ANNEXURE I'!AA26),'ANNEXURE I'!AA26)</f>
        <v>851504</v>
      </c>
      <c r="AB27" s="537"/>
      <c r="AC27" s="538"/>
      <c r="AE27" s="25"/>
    </row>
    <row r="28" spans="2:31" s="24" customFormat="1" ht="75" customHeight="1" thickBot="1" x14ac:dyDescent="0.35">
      <c r="B28" s="28"/>
      <c r="C28" s="1192" t="s">
        <v>177</v>
      </c>
      <c r="D28" s="1192"/>
      <c r="E28" s="1192"/>
      <c r="F28" s="1192"/>
      <c r="G28" s="1192"/>
      <c r="H28" s="1192"/>
      <c r="I28" s="1192"/>
      <c r="J28" s="1192"/>
      <c r="K28" s="1192"/>
      <c r="L28" s="1192"/>
      <c r="M28" s="1192"/>
      <c r="N28" s="1192"/>
      <c r="O28" s="1192"/>
      <c r="P28" s="1192"/>
      <c r="Q28" s="1192"/>
      <c r="R28" s="1192" t="s">
        <v>178</v>
      </c>
      <c r="S28" s="1192"/>
      <c r="T28" s="1192"/>
      <c r="U28" s="1192"/>
      <c r="V28" s="1192"/>
      <c r="W28" s="1192"/>
      <c r="X28" s="1192"/>
      <c r="Y28" s="1192"/>
      <c r="Z28" s="1192"/>
      <c r="AA28" s="1192"/>
      <c r="AB28" s="1192"/>
      <c r="AC28" s="814"/>
      <c r="AE28" s="25"/>
    </row>
    <row r="29" spans="2:31" ht="15.95" customHeight="1" thickTop="1" x14ac:dyDescent="0.25">
      <c r="B29" s="804"/>
      <c r="C29" s="1184" t="s">
        <v>179</v>
      </c>
      <c r="D29" s="1184"/>
      <c r="E29" s="1184"/>
      <c r="F29" s="1184"/>
      <c r="G29" s="1184"/>
      <c r="H29" s="1184"/>
      <c r="I29" s="1184"/>
      <c r="J29" s="1184"/>
      <c r="K29" s="1184"/>
      <c r="L29" s="1184"/>
      <c r="M29" s="1184"/>
      <c r="N29" s="1184"/>
      <c r="O29" s="1184"/>
      <c r="P29" s="1184"/>
      <c r="Q29" s="1184"/>
      <c r="R29" s="1184"/>
      <c r="S29" s="1184"/>
      <c r="T29" s="1184"/>
      <c r="U29" s="1184"/>
      <c r="V29" s="1184"/>
      <c r="W29" s="1184"/>
      <c r="X29" s="1184"/>
      <c r="Y29" s="1184"/>
      <c r="Z29" s="1184"/>
      <c r="AA29" s="1184"/>
      <c r="AB29" s="1184"/>
      <c r="AC29" s="1184"/>
      <c r="AD29" s="804"/>
    </row>
    <row r="34" spans="7:7" x14ac:dyDescent="0.25">
      <c r="G34" s="29"/>
    </row>
  </sheetData>
  <sheetProtection algorithmName="SHA-512" hashValue="9YlmfGk5iCj6/KwI62WlrqkDMZa/mFJ5xMuA/kMvaeayYzC09zAnaitAnGj5z83Vsa+fRlT3jpzvONQ/cxXuGA==" saltValue="wpS+wgb/H2UpEqGm54vWBQ==" spinCount="100000" sheet="1" objects="1" scenarios="1" selectLockedCells="1"/>
  <protectedRanges>
    <protectedRange sqref="H18:O18 C19:C25 I19:O25 D19:H19 D22:H25 D21 E20:H21 C5:O17" name="Range1"/>
    <protectedRange sqref="Q5:Y25" name="Range2"/>
  </protectedRanges>
  <mergeCells count="21">
    <mergeCell ref="AA2:AC2"/>
    <mergeCell ref="AA3:AC3"/>
    <mergeCell ref="J2:L2"/>
    <mergeCell ref="J3:L3"/>
    <mergeCell ref="M2:Q2"/>
    <mergeCell ref="M3:Q3"/>
    <mergeCell ref="S2:X2"/>
    <mergeCell ref="S3:X3"/>
    <mergeCell ref="Y2:Z2"/>
    <mergeCell ref="Y3:Z3"/>
    <mergeCell ref="AB19:AC19"/>
    <mergeCell ref="AB21:AC21"/>
    <mergeCell ref="AB22:AC22"/>
    <mergeCell ref="C29:AC29"/>
    <mergeCell ref="AB20:AC20"/>
    <mergeCell ref="AB23:AC23"/>
    <mergeCell ref="AB24:AC24"/>
    <mergeCell ref="AB26:AC26"/>
    <mergeCell ref="C28:Q28"/>
    <mergeCell ref="R28:AB28"/>
    <mergeCell ref="AB25:AC25"/>
  </mergeCells>
  <phoneticPr fontId="10" type="noConversion"/>
  <conditionalFormatting sqref="C5:C16">
    <cfRule type="expression" dxfId="38" priority="2">
      <formula>C4&lt;&gt;C5</formula>
    </cfRule>
  </conditionalFormatting>
  <conditionalFormatting sqref="AB6:AC16">
    <cfRule type="expression" dxfId="37" priority="4">
      <formula>AB6&lt;&gt;AB5</formula>
    </cfRule>
  </conditionalFormatting>
  <printOptions horizontalCentered="1" verticalCentered="1"/>
  <pageMargins left="0.15748031496062992" right="0.15748031496062992" top="7.874015748031496E-2" bottom="7.874015748031496E-2" header="7.874015748031496E-2" footer="7.874015748031496E-2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3507DF"/>
    <pageSetUpPr fitToPage="1"/>
  </sheetPr>
  <dimension ref="B1:AB77"/>
  <sheetViews>
    <sheetView showGridLines="0" showRowColHeaders="0" zoomScaleSheetLayoutView="100" zoomScalePageLayoutView="60" workbookViewId="0">
      <pane xSplit="2" ySplit="7" topLeftCell="C8" activePane="bottomRight" state="frozen"/>
      <selection pane="bottomLeft" activeCell="A8" sqref="A8"/>
      <selection pane="topRight" activeCell="C1" sqref="C1"/>
      <selection pane="bottomRight" activeCell="B77" sqref="B77:T77"/>
    </sheetView>
  </sheetViews>
  <sheetFormatPr defaultColWidth="9.14453125" defaultRowHeight="16.5" x14ac:dyDescent="0.25"/>
  <cols>
    <col min="1" max="1" width="0.40234375" style="32" customWidth="1" collapsed="1"/>
    <col min="2" max="2" width="4.3046875" style="31" customWidth="1" collapsed="1"/>
    <col min="3" max="3" width="3.765625" style="32" customWidth="1" collapsed="1"/>
    <col min="4" max="4" width="7.6640625" style="32" customWidth="1" collapsed="1"/>
    <col min="5" max="5" width="7.6640625" style="32" customWidth="1"/>
    <col min="6" max="6" width="5.6484375" style="32" customWidth="1" collapsed="1"/>
    <col min="7" max="9" width="5.6484375" style="32" customWidth="1"/>
    <col min="10" max="10" width="4.03515625" style="40" customWidth="1" collapsed="1"/>
    <col min="11" max="13" width="4.03515625" style="40" customWidth="1"/>
    <col min="14" max="14" width="4.03515625" style="32" customWidth="1" collapsed="1"/>
    <col min="15" max="17" width="4.03515625" style="32" customWidth="1"/>
    <col min="18" max="18" width="2.6875" style="32" customWidth="1"/>
    <col min="19" max="19" width="14.2578125" style="33" customWidth="1" collapsed="1"/>
    <col min="20" max="20" width="14.2578125" style="34" customWidth="1" collapsed="1"/>
    <col min="21" max="21" width="2.41796875" style="32" customWidth="1" collapsed="1"/>
    <col min="22" max="22" width="4.4375" style="32" customWidth="1" collapsed="1"/>
    <col min="23" max="23" width="18.6953125" style="32" customWidth="1" collapsed="1"/>
    <col min="24" max="24" width="11.02734375" style="32" customWidth="1" collapsed="1"/>
    <col min="25" max="25" width="2.41796875" style="32" customWidth="1" collapsed="1"/>
    <col min="26" max="26" width="12.5078125" style="32" bestFit="1" customWidth="1" collapsed="1"/>
    <col min="27" max="16384" width="9.14453125" style="32" collapsed="1"/>
  </cols>
  <sheetData>
    <row r="1" spans="2:28" ht="3" customHeight="1" thickBot="1" x14ac:dyDescent="0.3">
      <c r="B1" s="819"/>
      <c r="C1" s="820"/>
      <c r="D1" s="820"/>
      <c r="E1" s="820"/>
      <c r="F1" s="820"/>
      <c r="G1" s="820"/>
      <c r="H1" s="820"/>
      <c r="I1" s="820"/>
      <c r="N1" s="820"/>
      <c r="O1" s="820"/>
      <c r="P1" s="820"/>
      <c r="Q1" s="820"/>
      <c r="R1" s="820"/>
      <c r="S1" s="821"/>
      <c r="T1" s="822"/>
      <c r="U1" s="820"/>
      <c r="V1" s="820"/>
      <c r="W1" s="820"/>
      <c r="X1" s="820"/>
      <c r="Y1" s="820"/>
      <c r="Z1" s="820"/>
      <c r="AA1" s="820"/>
      <c r="AB1" s="820"/>
    </row>
    <row r="2" spans="2:28" ht="15" customHeight="1" thickTop="1" x14ac:dyDescent="0.25">
      <c r="B2" s="1198" t="s">
        <v>180</v>
      </c>
      <c r="C2" s="1199"/>
      <c r="D2" s="1199"/>
      <c r="E2" s="1199"/>
      <c r="F2" s="1202" t="s">
        <v>181</v>
      </c>
      <c r="G2" s="1202"/>
      <c r="H2" s="1202"/>
      <c r="I2" s="1202"/>
      <c r="J2" s="1202"/>
      <c r="K2" s="1202"/>
      <c r="L2" s="1202"/>
      <c r="M2" s="1202"/>
      <c r="N2" s="1202"/>
      <c r="O2" s="1210" t="str">
        <f>'ANNEXURE I'!B2&amp;" REGIME"</f>
        <v>NEW REGIME</v>
      </c>
      <c r="P2" s="1210"/>
      <c r="Q2" s="1210"/>
      <c r="R2" s="1210"/>
      <c r="S2" s="1199" t="s">
        <v>182</v>
      </c>
      <c r="T2" s="1267"/>
      <c r="U2" s="820"/>
      <c r="V2" s="1266" t="s">
        <v>183</v>
      </c>
      <c r="W2" s="1266"/>
      <c r="X2" s="1266"/>
      <c r="Y2" s="820"/>
      <c r="Z2" s="820"/>
      <c r="AA2" s="820"/>
      <c r="AB2" s="820"/>
    </row>
    <row r="3" spans="2:28" ht="17.100000000000001" customHeight="1" x14ac:dyDescent="0.25">
      <c r="B3" s="1200"/>
      <c r="C3" s="1201"/>
      <c r="D3" s="1201"/>
      <c r="E3" s="1201"/>
      <c r="F3" s="1203" t="s">
        <v>184</v>
      </c>
      <c r="G3" s="1203"/>
      <c r="H3" s="1203"/>
      <c r="I3" s="1203"/>
      <c r="J3" s="1203"/>
      <c r="K3" s="1203"/>
      <c r="L3" s="1203"/>
      <c r="M3" s="1203"/>
      <c r="N3" s="1203"/>
      <c r="O3" s="1211" t="str">
        <f>KEY!BS18</f>
        <v>General Citizen</v>
      </c>
      <c r="P3" s="1211"/>
      <c r="Q3" s="1211"/>
      <c r="R3" s="1211"/>
      <c r="S3" s="1268"/>
      <c r="T3" s="1269"/>
      <c r="U3" s="820"/>
      <c r="V3" s="58" t="s">
        <v>185</v>
      </c>
      <c r="W3" s="42" t="str">
        <f>"RENT "&amp;DATA!E17&amp;" x "&amp;DATA!E18&amp;" ="</f>
        <v>RENT 8300 x 12 =</v>
      </c>
      <c r="X3" s="481">
        <f>ROUND(DATA!E17*DATA!E18,0)</f>
        <v>99600</v>
      </c>
      <c r="Y3" s="820"/>
      <c r="Z3" s="1250" t="str">
        <f>IF(X3&lt;0,"",CHOOSE(MID(TEXT(X3,"000000000.00"),1,1)+1,,,"Twenty ","Thirty ","Forty ","Fifty ","Sixty ","Seventy ","Eighty ","Ninety ")&amp;IF(--MID(TEXT(X3,"000000000.00"),1,1)&lt;&gt;1,CHOOSE(MID(TEXT(X3,"000000000.00"),2,1)+1,,"One ","Two ","Three ","Four ","Five ","Six ","Seven ","Eight ","Nine "),CHOOSE(MID(TEXT(X3,"000000000.00"),2,1)+1,"Ten ","Eleven ","Twelve ","Thirteen ","Fourteen ","Fifteen ","Sixteen ","Seventeen ","Eighteen ","Nineteen "))&amp;IF((--MID(TEXT(X3,"000000000.00"),1,1)+MID(TEXT(X3,"000000000.00"),1,1)+MID(TEXT(X3,"000000000.00"),2,1))=0,,"crore ")&amp;CHOOSE(MID(TEXT(X3,"000000000.00"),3,1)+1,,,"Twenty ","Thirty ","Forty ","Fifty ","Sixty ","Seventy ","Eighty ","Ninety ")&amp;IF(--MID(TEXT(X3,"000000000.00"),3,1)&lt;&gt;1,CHOOSE(MID(TEXT(X3,"000000000.00"),4,1)+1,,"One ","Two ","Three ","Four ","Five ","Six ","Seven ","Eight ","Nine "),CHOOSE(MID(TEXT(X3,"000000000.00"),4,1)+1,"Ten ","Eleven ","Twelve ","Thirteen ","Fourteen ","Fifteen ","Sixteen ","Seventeen ","Eighteen ","Nineteen "))&amp;IF((--MID(TEXT(X3,"000000000.00"),3,1)+MID(TEXT(X3,"000000000.00"),3,1)+MID(TEXT(X3,"000000000.00"),4,1))=0,"","lakh ")&amp;CHOOSE(MID(TEXT(X3,"000000000.00"),5,1)+1,,,"Twenty ","Thirty ","Forty ","Fifty ","Sixty ","Seventy ","Eighty ","Ninety ")&amp;IF(--MID(TEXT(X3,"000000000.00"),5,1)&lt;&gt;1,CHOOSE(MID(TEXT(X3,"000000000.00"),6,1)+1,,"One ","Two ","Three ","Four ","Five ","Six ","Seven ","Eight ","Nine "),CHOOSE(MID(TEXT(X3,"000000000.00"),6,1)+1,"Ten ","Eleven ","Twelve ","Thirteen ","Fourteen ","Fifteen ","Sixteen ","Seventeen ","Eighteen ","Nineteen "))&amp;IF((--MID(TEXT(X3,"000000000.00"),5,1)+MID(TEXT(X3,"000000000.00"),5,1)+MID(TEXT(X3,"000000000.00"),6,1))=0,"","Thousand ")&amp;CHOOSE(MID(TEXT(X3,"000000000.00"),7,1)+1,,"One ","Two ","Three ","Four ","Five ","Six ","Seven ","Eight ","Nine ")&amp;IF(--MID(TEXT(X3,"000000000.00"),7,1)=0,,IF(AND(--MID(TEXT(X3,"000000000.00"),8,1)=0,--MID(TEXT(X3,"000000000.00"),9,1)=0),"Hundred ","Hundred and "))&amp;CHOOSE(MID(TEXT(X3,"000000000.00"),8,1)+1,,,"Twenty ","Thirty ","Forty ","Fifty ","Sixty ","Seventy ","Eighty ","Ninety ")&amp;IF(--MID(TEXT(X3,"000000000.00"),8,1)&lt;&gt;1,CHOOSE(MID(TEXT(X3,"000000000.00"),9,1)+1,,"One ","Two ","Three ","Four ","Five ","Six ","Seven ","Eight ","Nine "),CHOOSE(MID(TEXT(X3,"000000000.00"),9,1)+1,"Ten ","Eleven ","Twelve ","Thirteen ","Fourteen ","Fifteen ","Sixteen ","Seventeen ","Eighteen ","Nineteen "))&amp;IF(X3&lt;0,"",IF(X3=0," Zero Rupees",IF(AND(X3&gt;0,X3&lt;1),"",IF(AND(X3&gt;=1,X3&lt;2),"Rupee ","Rupees ")))))</f>
        <v xml:space="preserve">Ninety Nine Thousand Six Hundred Rupees </v>
      </c>
      <c r="AA3" s="1250"/>
      <c r="AB3" s="1250"/>
    </row>
    <row r="4" spans="2:28" ht="15" customHeight="1" x14ac:dyDescent="0.3">
      <c r="B4" s="124" t="s">
        <v>186</v>
      </c>
      <c r="C4" s="440" t="str">
        <f>'ANNEXURE I'!C2&amp;"  "&amp;'ANNEXURE I'!D2</f>
        <v xml:space="preserve">Sri.  PERUMALLA RAMANJANEYULU  </v>
      </c>
      <c r="D4" s="440"/>
      <c r="E4" s="440"/>
      <c r="F4" s="440"/>
      <c r="G4" s="440"/>
      <c r="H4" s="440"/>
      <c r="I4" s="440"/>
      <c r="J4" s="440" t="str">
        <f>LEFT('ANNEXURE I'!J3,4)&amp;".  :  "&amp;'ANNEXURE I'!M3</f>
        <v>Vill.  :  RAHIMANPURAM</v>
      </c>
      <c r="K4" s="440"/>
      <c r="L4" s="440"/>
      <c r="M4" s="440"/>
      <c r="N4" s="440"/>
      <c r="O4" s="440"/>
      <c r="P4" s="440"/>
      <c r="Q4" s="440"/>
      <c r="R4" s="440"/>
      <c r="S4" s="440" t="str">
        <f>'ANNEXURE I'!Y2&amp;"  "&amp;'ANNEXURE I'!AA2</f>
        <v>EMP. Tr ID :  0123456</v>
      </c>
      <c r="T4" s="441"/>
      <c r="U4" s="820"/>
      <c r="V4" s="58" t="s">
        <v>187</v>
      </c>
      <c r="W4" s="823" t="s">
        <v>188</v>
      </c>
      <c r="X4" s="481">
        <f>ROUND(('ANNEXURE I'!C27+'ANNEXURE I'!D27)*10%,0)</f>
        <v>90935</v>
      </c>
      <c r="Y4" s="820"/>
      <c r="Z4" s="1250"/>
      <c r="AA4" s="1250"/>
      <c r="AB4" s="1250"/>
    </row>
    <row r="5" spans="2:28" ht="15" customHeight="1" x14ac:dyDescent="0.3">
      <c r="B5" s="125" t="s">
        <v>186</v>
      </c>
      <c r="C5" s="442" t="str">
        <f>'ANNEXURE I'!C3&amp;"  "&amp;'ANNEXURE I'!D3</f>
        <v xml:space="preserve">SECONDARY GRADE TEACHER  </v>
      </c>
      <c r="D5" s="442"/>
      <c r="E5" s="442"/>
      <c r="F5" s="442"/>
      <c r="G5" s="442"/>
      <c r="H5" s="442"/>
      <c r="I5" s="442"/>
      <c r="J5" s="442" t="str">
        <f>'ANNEXURE I'!R2&amp;"  "&amp;'ANNEXURE I'!S2</f>
        <v>Mdl :  BETHAMCHERLA</v>
      </c>
      <c r="K5" s="442"/>
      <c r="L5" s="442"/>
      <c r="M5" s="442"/>
      <c r="N5" s="442"/>
      <c r="O5" s="442"/>
      <c r="P5" s="442"/>
      <c r="Q5" s="442"/>
      <c r="R5" s="442"/>
      <c r="S5" s="442" t="str">
        <f>'ANNEXURE I'!Y3&amp;"  "&amp;'ANNEXURE I'!AA3</f>
        <v>EMP. PAN :  MYPAN1234S</v>
      </c>
      <c r="T5" s="443"/>
      <c r="U5" s="820"/>
      <c r="V5" s="43"/>
      <c r="W5" s="59" t="s">
        <v>189</v>
      </c>
      <c r="X5" s="481">
        <f>IF(X3=0,0,IF(X3&lt;X4,0,(X3-X4)))</f>
        <v>8665</v>
      </c>
      <c r="Y5" s="820"/>
      <c r="Z5" s="1250"/>
      <c r="AA5" s="1250"/>
      <c r="AB5" s="1250"/>
    </row>
    <row r="6" spans="2:28" ht="15" customHeight="1" x14ac:dyDescent="0.3">
      <c r="B6" s="126" t="s">
        <v>186</v>
      </c>
      <c r="C6" s="444" t="str">
        <f>'ANNEXURE I'!J2&amp;"  "&amp;'ANNEXURE I'!M2</f>
        <v>OFFICE :  Z.P.HIGH SCHOOL</v>
      </c>
      <c r="D6" s="444"/>
      <c r="E6" s="444"/>
      <c r="F6" s="444"/>
      <c r="G6" s="444"/>
      <c r="H6" s="444"/>
      <c r="I6" s="444"/>
      <c r="J6" s="444" t="str">
        <f>'ANNEXURE I'!R3&amp;"  "&amp;'ANNEXURE I'!S3</f>
        <v>Dist :  NANDYAL</v>
      </c>
      <c r="K6" s="444"/>
      <c r="L6" s="444"/>
      <c r="M6" s="444"/>
      <c r="N6" s="444"/>
      <c r="O6" s="444"/>
      <c r="P6" s="444"/>
      <c r="Q6" s="444"/>
      <c r="R6" s="444"/>
      <c r="S6" s="444" t="str">
        <f>"EMP. P.F.   : "&amp;UPPER(DATA!D5)&amp;" EMPLOYEE"</f>
        <v>EMP. P.F.   : CPS EMPLOYEE</v>
      </c>
      <c r="T6" s="445"/>
      <c r="U6" s="820"/>
      <c r="V6" s="1270" t="s">
        <v>190</v>
      </c>
      <c r="W6" s="1270"/>
      <c r="X6" s="1270"/>
      <c r="Y6" s="820"/>
      <c r="Z6" s="820"/>
      <c r="AA6" s="820"/>
      <c r="AB6" s="820"/>
    </row>
    <row r="7" spans="2:28" ht="14.1" customHeight="1" x14ac:dyDescent="0.25">
      <c r="B7" s="60">
        <v>1</v>
      </c>
      <c r="C7" s="453" t="s">
        <v>191</v>
      </c>
      <c r="D7" s="454"/>
      <c r="E7" s="446"/>
      <c r="F7" s="1208" t="str">
        <f>IF(AND(DATA!D5="CPS",DATA!E8="YES"),"Including Employer's Contribution towards NPS : "&amp;'ANNEXURE I'!P27&amp;" + "&amp;'ANNEXURE I'!Q27&amp;" = ","")</f>
        <v/>
      </c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9"/>
      <c r="S7" s="958">
        <f>IF(AND(DATA!D5="CPS",DATA!E8="YES"),'ANNEXURE I'!P27+'ANNEXURE I'!Q27,'ANNEXURE I'!P27)</f>
        <v>978405</v>
      </c>
      <c r="T7" s="959">
        <f>S7</f>
        <v>978405</v>
      </c>
      <c r="U7" s="820"/>
      <c r="V7" s="41" t="s">
        <v>192</v>
      </c>
      <c r="W7" s="823" t="s">
        <v>193</v>
      </c>
      <c r="X7" s="481">
        <f>'ANNEXURE I'!E27+'ANNEXURE I'!H27</f>
        <v>67256</v>
      </c>
      <c r="Y7" s="820"/>
      <c r="Z7" s="820"/>
      <c r="AA7" s="820"/>
      <c r="AB7" s="820"/>
    </row>
    <row r="8" spans="2:28" ht="14.1" customHeight="1" x14ac:dyDescent="0.25">
      <c r="B8" s="61">
        <v>2</v>
      </c>
      <c r="C8" s="470" t="s">
        <v>194</v>
      </c>
      <c r="D8" s="35"/>
      <c r="E8" s="35"/>
      <c r="F8" s="35"/>
      <c r="G8" s="48"/>
      <c r="H8" s="48"/>
      <c r="I8" s="48"/>
      <c r="J8" s="1204" t="str">
        <f>IF(OR(DATA!E17="",DATA!E17=0),"LIVING IN : OWN HOUSE","LIVING IN : RENTED HOUSE")</f>
        <v>LIVING IN : RENTED HOUSE</v>
      </c>
      <c r="K8" s="1204"/>
      <c r="L8" s="1204"/>
      <c r="M8" s="1204"/>
      <c r="N8" s="1204"/>
      <c r="O8" s="1204"/>
      <c r="P8" s="1204"/>
      <c r="Q8" s="1204"/>
      <c r="R8" s="1205"/>
      <c r="S8" s="824"/>
      <c r="T8" s="825"/>
      <c r="U8" s="820"/>
      <c r="V8" s="41" t="s">
        <v>195</v>
      </c>
      <c r="W8" s="44" t="s">
        <v>189</v>
      </c>
      <c r="X8" s="481">
        <f>X5</f>
        <v>8665</v>
      </c>
      <c r="Y8" s="820"/>
      <c r="Z8" s="826"/>
      <c r="AA8" s="820"/>
      <c r="AB8" s="820"/>
    </row>
    <row r="9" spans="2:28" ht="12.95" customHeight="1" x14ac:dyDescent="0.25">
      <c r="B9" s="61"/>
      <c r="C9" s="827"/>
      <c r="D9" s="1194" t="str">
        <f>W3</f>
        <v>RENT 8300 x 12 =</v>
      </c>
      <c r="E9" s="1195"/>
      <c r="F9" s="1196">
        <f>X3</f>
        <v>99600</v>
      </c>
      <c r="G9" s="1197"/>
      <c r="H9" s="517"/>
      <c r="I9" s="35" t="s">
        <v>196</v>
      </c>
      <c r="J9" s="467"/>
      <c r="K9" s="467"/>
      <c r="L9" s="467"/>
      <c r="M9" s="467"/>
      <c r="N9" s="449"/>
      <c r="O9" s="828"/>
      <c r="P9" s="466"/>
      <c r="Q9" s="466"/>
      <c r="R9" s="960"/>
      <c r="S9" s="824">
        <f>IF(KEY!$AZ$29="NEW",0,'ANNEXURE II'!X7)</f>
        <v>0</v>
      </c>
      <c r="T9" s="825"/>
      <c r="U9" s="820"/>
      <c r="V9" s="41" t="s">
        <v>197</v>
      </c>
      <c r="W9" s="823" t="s">
        <v>198</v>
      </c>
      <c r="X9" s="481">
        <f>ROUND(('ANNEXURE I'!C27+'ANNEXURE I'!D27)*40%,0)</f>
        <v>363740</v>
      </c>
      <c r="Y9" s="820"/>
      <c r="Z9" s="820"/>
      <c r="AA9" s="820"/>
      <c r="AB9" s="820"/>
    </row>
    <row r="10" spans="2:28" ht="12.95" customHeight="1" x14ac:dyDescent="0.25">
      <c r="B10" s="61"/>
      <c r="C10" s="829"/>
      <c r="D10" s="1206" t="str">
        <f>W4</f>
        <v>(BP+DA) x 10% =</v>
      </c>
      <c r="E10" s="1207"/>
      <c r="F10" s="1196">
        <f>X4</f>
        <v>90935</v>
      </c>
      <c r="G10" s="1197"/>
      <c r="H10" s="518"/>
      <c r="I10" s="35" t="s">
        <v>199</v>
      </c>
      <c r="J10" s="474"/>
      <c r="K10" s="467"/>
      <c r="L10" s="467"/>
      <c r="M10" s="467"/>
      <c r="N10" s="62"/>
      <c r="O10" s="828"/>
      <c r="P10" s="466"/>
      <c r="Q10" s="466"/>
      <c r="R10" s="830"/>
      <c r="S10" s="824">
        <f>IF(KEY!$AZ$29="NEW",0,X5)</f>
        <v>0</v>
      </c>
      <c r="T10" s="825"/>
      <c r="U10" s="820"/>
      <c r="V10" s="1271" t="s">
        <v>200</v>
      </c>
      <c r="W10" s="1271"/>
      <c r="X10" s="481">
        <f>MIN(X7:X9)</f>
        <v>8665</v>
      </c>
      <c r="Y10" s="820"/>
      <c r="Z10" s="820"/>
      <c r="AA10" s="820"/>
      <c r="AB10" s="820"/>
    </row>
    <row r="11" spans="2:28" ht="12.95" customHeight="1" x14ac:dyDescent="0.25">
      <c r="B11" s="60"/>
      <c r="C11" s="829"/>
      <c r="D11" s="1194" t="s">
        <v>201</v>
      </c>
      <c r="E11" s="1195"/>
      <c r="F11" s="1196">
        <f>X5</f>
        <v>8665</v>
      </c>
      <c r="G11" s="1197"/>
      <c r="H11" s="518"/>
      <c r="I11" s="35" t="str">
        <f>"40% of SALARY"&amp;" [("&amp;'ANNEXURE I'!C26&amp;" + "&amp;'ANNEXURE I'!D26&amp;")*40%)] = "</f>
        <v xml:space="preserve">40% of SALARY [(672560 + 236789)*40%)] = </v>
      </c>
      <c r="J11" s="474"/>
      <c r="K11" s="467"/>
      <c r="L11" s="467"/>
      <c r="M11" s="467"/>
      <c r="N11" s="449"/>
      <c r="O11" s="828"/>
      <c r="P11" s="466"/>
      <c r="Q11" s="466"/>
      <c r="R11" s="434"/>
      <c r="S11" s="831">
        <f>IF(KEY!$AZ$29="NEW",0,X9)</f>
        <v>0</v>
      </c>
      <c r="T11" s="825">
        <f>KEY!AV32</f>
        <v>0</v>
      </c>
      <c r="U11" s="820"/>
      <c r="V11" s="1272" t="s">
        <v>202</v>
      </c>
      <c r="W11" s="1273"/>
      <c r="X11" s="138" t="s">
        <v>203</v>
      </c>
      <c r="Y11" s="820"/>
      <c r="Z11" s="820"/>
      <c r="AA11" s="820"/>
      <c r="AB11" s="820"/>
    </row>
    <row r="12" spans="2:28" ht="14.1" customHeight="1" x14ac:dyDescent="0.25">
      <c r="B12" s="61"/>
      <c r="C12" s="455" t="s">
        <v>204</v>
      </c>
      <c r="D12" s="452"/>
      <c r="E12" s="452"/>
      <c r="F12" s="452"/>
      <c r="G12" s="439"/>
      <c r="H12" s="439"/>
      <c r="I12" s="439"/>
      <c r="J12" s="1217"/>
      <c r="K12" s="1217"/>
      <c r="L12" s="1217"/>
      <c r="M12" s="1217"/>
      <c r="N12" s="1217"/>
      <c r="O12" s="35"/>
      <c r="P12" s="35"/>
      <c r="Q12" s="35"/>
      <c r="R12" s="36"/>
      <c r="S12" s="831"/>
      <c r="T12" s="475">
        <f>T7-T11</f>
        <v>978405</v>
      </c>
      <c r="U12" s="820"/>
      <c r="V12" s="820"/>
      <c r="W12" s="820"/>
      <c r="X12" s="820"/>
      <c r="Y12" s="820"/>
      <c r="Z12" s="820"/>
      <c r="AA12" s="820"/>
      <c r="AB12" s="820"/>
    </row>
    <row r="13" spans="2:28" ht="14.1" customHeight="1" x14ac:dyDescent="0.25">
      <c r="B13" s="61">
        <v>3</v>
      </c>
      <c r="C13" s="456" t="s">
        <v>205</v>
      </c>
      <c r="D13" s="457"/>
      <c r="E13" s="457"/>
      <c r="F13" s="457"/>
      <c r="G13" s="432"/>
      <c r="H13" s="432"/>
      <c r="I13" s="432"/>
      <c r="J13" s="35"/>
      <c r="K13" s="35"/>
      <c r="L13" s="35"/>
      <c r="M13" s="35"/>
      <c r="N13" s="35"/>
      <c r="O13" s="35"/>
      <c r="P13" s="35"/>
      <c r="Q13" s="35"/>
      <c r="R13" s="35"/>
      <c r="S13" s="831"/>
      <c r="T13" s="825"/>
      <c r="U13" s="820"/>
      <c r="V13" s="820"/>
      <c r="W13" s="820"/>
      <c r="X13" s="820"/>
      <c r="Y13" s="820"/>
      <c r="Z13" s="820"/>
      <c r="AA13" s="820"/>
      <c r="AB13" s="820"/>
    </row>
    <row r="14" spans="2:28" ht="12.95" customHeight="1" x14ac:dyDescent="0.25">
      <c r="B14" s="60"/>
      <c r="C14" s="45" t="s">
        <v>206</v>
      </c>
      <c r="D14" s="35" t="s">
        <v>207</v>
      </c>
      <c r="E14" s="35"/>
      <c r="F14" s="35"/>
      <c r="G14" s="35"/>
      <c r="H14" s="35"/>
      <c r="I14" s="35"/>
      <c r="J14" s="1204" t="s">
        <v>208</v>
      </c>
      <c r="K14" s="1204"/>
      <c r="L14" s="1204"/>
      <c r="M14" s="1204"/>
      <c r="N14" s="1204"/>
      <c r="O14" s="1204"/>
      <c r="P14" s="1204"/>
      <c r="Q14" s="1204"/>
      <c r="R14" s="1205"/>
      <c r="S14" s="831">
        <f>KEY!AV33</f>
        <v>0</v>
      </c>
      <c r="T14" s="825"/>
      <c r="U14" s="820"/>
      <c r="V14" s="820"/>
      <c r="W14" s="820"/>
      <c r="X14" s="820"/>
      <c r="Y14" s="820"/>
      <c r="Z14" s="820"/>
      <c r="AA14" s="820"/>
      <c r="AB14" s="820"/>
    </row>
    <row r="15" spans="2:28" ht="12.95" customHeight="1" x14ac:dyDescent="0.25">
      <c r="B15" s="60"/>
      <c r="C15" s="46" t="s">
        <v>209</v>
      </c>
      <c r="D15" s="35" t="s">
        <v>210</v>
      </c>
      <c r="E15" s="35"/>
      <c r="F15" s="35"/>
      <c r="G15" s="35"/>
      <c r="H15" s="35"/>
      <c r="I15" s="35"/>
      <c r="J15" s="1275" t="s">
        <v>211</v>
      </c>
      <c r="K15" s="1275"/>
      <c r="L15" s="1275"/>
      <c r="M15" s="1275"/>
      <c r="N15" s="1275"/>
      <c r="O15" s="1275"/>
      <c r="P15" s="1275"/>
      <c r="Q15" s="1275"/>
      <c r="R15" s="1276"/>
      <c r="S15" s="831">
        <f>MIN(T7,IF('ANNEXURE I'!B2="OLD",KEY!AV34,KEY!AV35))</f>
        <v>75000</v>
      </c>
      <c r="T15" s="825"/>
      <c r="U15" s="820"/>
      <c r="V15" s="820"/>
      <c r="W15" s="820"/>
      <c r="X15" s="820"/>
      <c r="Y15" s="820"/>
      <c r="Z15" s="820"/>
      <c r="AA15" s="820"/>
      <c r="AB15" s="820"/>
    </row>
    <row r="16" spans="2:28" ht="12.95" customHeight="1" x14ac:dyDescent="0.25">
      <c r="B16" s="60"/>
      <c r="C16" s="46" t="s">
        <v>209</v>
      </c>
      <c r="D16" s="35" t="s">
        <v>212</v>
      </c>
      <c r="E16" s="35"/>
      <c r="F16" s="35"/>
      <c r="G16" s="48"/>
      <c r="H16" s="48"/>
      <c r="I16" s="48"/>
      <c r="J16" s="35"/>
      <c r="K16" s="35"/>
      <c r="L16" s="35"/>
      <c r="M16" s="35"/>
      <c r="N16" s="35"/>
      <c r="O16" s="35"/>
      <c r="P16" s="35"/>
      <c r="Q16" s="35"/>
      <c r="R16" s="35"/>
      <c r="S16" s="831">
        <f>KEY!AV36</f>
        <v>0</v>
      </c>
      <c r="T16" s="825">
        <f>SUM(S14:S16)</f>
        <v>75000</v>
      </c>
      <c r="U16" s="820"/>
      <c r="V16" s="820"/>
      <c r="W16" s="820"/>
      <c r="X16" s="820"/>
      <c r="Y16" s="820"/>
      <c r="Z16" s="820"/>
      <c r="AA16" s="820"/>
      <c r="AB16" s="820"/>
    </row>
    <row r="17" spans="2:26" ht="14.1" customHeight="1" x14ac:dyDescent="0.25">
      <c r="B17" s="60"/>
      <c r="C17" s="455" t="s">
        <v>213</v>
      </c>
      <c r="D17" s="452"/>
      <c r="E17" s="452"/>
      <c r="F17" s="452"/>
      <c r="G17" s="439"/>
      <c r="H17" s="439"/>
      <c r="I17" s="439"/>
      <c r="J17" s="1217"/>
      <c r="K17" s="1217"/>
      <c r="L17" s="1217"/>
      <c r="M17" s="1217"/>
      <c r="N17" s="1217"/>
      <c r="O17" s="35"/>
      <c r="P17" s="35"/>
      <c r="Q17" s="35"/>
      <c r="R17" s="36"/>
      <c r="S17" s="831"/>
      <c r="T17" s="475">
        <f>MAX(0,T12-T16)</f>
        <v>903405</v>
      </c>
      <c r="U17" s="820"/>
      <c r="V17" s="1274" t="s">
        <v>214</v>
      </c>
      <c r="W17" s="1274"/>
      <c r="X17" s="554">
        <f>IF(C19="INCOME FROM FAMILY PENSION",DATA!Q22,0)</f>
        <v>0</v>
      </c>
      <c r="Y17" s="820"/>
      <c r="Z17" s="832"/>
    </row>
    <row r="18" spans="2:26" ht="12.95" customHeight="1" x14ac:dyDescent="0.25">
      <c r="B18" s="60">
        <v>4</v>
      </c>
      <c r="C18" s="35" t="s">
        <v>78</v>
      </c>
      <c r="D18" s="35"/>
      <c r="E18" s="35"/>
      <c r="F18" s="35"/>
      <c r="G18" s="48"/>
      <c r="H18" s="48"/>
      <c r="I18" s="48"/>
      <c r="J18" s="35" t="s">
        <v>176</v>
      </c>
      <c r="K18" s="35"/>
      <c r="L18" s="35"/>
      <c r="M18" s="35"/>
      <c r="N18" s="35"/>
      <c r="O18" s="35"/>
      <c r="P18" s="35"/>
      <c r="Q18" s="35"/>
      <c r="R18" s="36"/>
      <c r="S18" s="831">
        <f>DATA!Q21</f>
        <v>0</v>
      </c>
      <c r="T18" s="825"/>
      <c r="U18" s="820"/>
      <c r="V18" s="1274" t="str">
        <f>"Exemption : "&amp;X17&amp;"/3="</f>
        <v>Exemption : 0/3=</v>
      </c>
      <c r="W18" s="1274"/>
      <c r="X18" s="557">
        <f>MIN(25000,ROUND(X17/3,0))</f>
        <v>0</v>
      </c>
      <c r="Y18" s="820"/>
      <c r="Z18" s="820"/>
    </row>
    <row r="19" spans="2:26" ht="12.95" customHeight="1" thickBot="1" x14ac:dyDescent="0.3">
      <c r="B19" s="60"/>
      <c r="C19" s="35" t="str">
        <f>IF(DATA!M22="","INCOME FROM CAPITAL GAINS",DATA!M22)</f>
        <v>INCOME FROM FAMILY PENSION</v>
      </c>
      <c r="D19" s="35"/>
      <c r="E19" s="35"/>
      <c r="F19" s="35"/>
      <c r="G19" s="527"/>
      <c r="H19" s="527"/>
      <c r="I19" s="527"/>
      <c r="J19" s="528" t="str">
        <f>IF(C19="INCOME FROM FAMILY PENSION",CONCATENATE(X17," - ","(",X17,"/3)="&amp;X17&amp;"-"&amp;X18&amp;"=",X17-MIN(25000,ROUND(X17/3,0))),"")</f>
        <v>0 - (0/3)=0-0=0</v>
      </c>
      <c r="K19" s="528"/>
      <c r="L19" s="528"/>
      <c r="M19" s="528"/>
      <c r="N19" s="528"/>
      <c r="O19" s="527"/>
      <c r="P19" s="527"/>
      <c r="Q19" s="527"/>
      <c r="R19" s="373"/>
      <c r="S19" s="831">
        <f>IF(C19="INCOME FROM FAMILY PENSION",X19,DATA!Q22)</f>
        <v>0</v>
      </c>
      <c r="T19" s="825"/>
      <c r="U19" s="820"/>
      <c r="V19" s="1263" t="s">
        <v>215</v>
      </c>
      <c r="W19" s="1263"/>
      <c r="X19" s="139">
        <f>X17-X18</f>
        <v>0</v>
      </c>
      <c r="Y19" s="820"/>
      <c r="Z19" s="820"/>
    </row>
    <row r="20" spans="2:26" ht="12.95" customHeight="1" thickTop="1" x14ac:dyDescent="0.25">
      <c r="B20" s="60">
        <v>5</v>
      </c>
      <c r="C20" s="1264" t="s">
        <v>216</v>
      </c>
      <c r="D20" s="1265"/>
      <c r="E20" s="1265"/>
      <c r="F20" s="1265"/>
      <c r="G20" s="530" t="str">
        <f>DATA!M23</f>
        <v>Annual Rent Received from Let-out Property</v>
      </c>
      <c r="H20" s="833"/>
      <c r="I20" s="531"/>
      <c r="J20" s="531"/>
      <c r="K20" s="531"/>
      <c r="L20" s="531"/>
      <c r="M20" s="531"/>
      <c r="N20" s="532"/>
      <c r="O20" s="1213">
        <f>DATA!Q23</f>
        <v>0</v>
      </c>
      <c r="P20" s="1213"/>
      <c r="Q20" s="1214"/>
      <c r="R20" s="48"/>
      <c r="S20" s="831"/>
      <c r="T20" s="825"/>
      <c r="U20" s="820"/>
      <c r="V20" s="1262" t="s">
        <v>217</v>
      </c>
      <c r="W20" s="1262"/>
      <c r="X20" s="1262"/>
      <c r="Y20" s="820"/>
      <c r="Z20" s="820"/>
    </row>
    <row r="21" spans="2:26" ht="12.95" customHeight="1" x14ac:dyDescent="0.25">
      <c r="B21" s="60"/>
      <c r="C21" s="1219"/>
      <c r="D21" s="1220"/>
      <c r="E21" s="1220"/>
      <c r="F21" s="1220"/>
      <c r="G21" s="533" t="str">
        <f>DATA!M24</f>
        <v>Municipal taxes paid to the local authority</v>
      </c>
      <c r="H21" s="828"/>
      <c r="I21" s="48"/>
      <c r="J21" s="35"/>
      <c r="K21" s="35"/>
      <c r="L21" s="35"/>
      <c r="M21" s="35"/>
      <c r="N21" s="36"/>
      <c r="O21" s="1215">
        <f>DATA!Q24</f>
        <v>0</v>
      </c>
      <c r="P21" s="1215"/>
      <c r="Q21" s="1216"/>
      <c r="R21" s="48"/>
      <c r="S21" s="831"/>
      <c r="T21" s="825"/>
      <c r="U21" s="820"/>
      <c r="V21" s="555"/>
      <c r="W21" s="555"/>
      <c r="X21" s="556"/>
      <c r="Y21" s="820"/>
      <c r="Z21" s="820"/>
    </row>
    <row r="22" spans="2:26" ht="12.95" customHeight="1" x14ac:dyDescent="0.25">
      <c r="B22" s="60"/>
      <c r="C22" s="1219"/>
      <c r="D22" s="1220"/>
      <c r="E22" s="1220"/>
      <c r="F22" s="1220"/>
      <c r="G22" s="533" t="str">
        <f>DATA!M25</f>
        <v xml:space="preserve">Maintenance : ( - ) * 30% = </v>
      </c>
      <c r="H22" s="828"/>
      <c r="I22" s="48"/>
      <c r="J22" s="35"/>
      <c r="K22" s="35"/>
      <c r="L22" s="35"/>
      <c r="M22" s="35"/>
      <c r="N22" s="36"/>
      <c r="O22" s="1215">
        <f>DATA!Q25</f>
        <v>0</v>
      </c>
      <c r="P22" s="1215"/>
      <c r="Q22" s="1216"/>
      <c r="R22" s="48"/>
      <c r="S22" s="831"/>
      <c r="T22" s="825"/>
      <c r="U22" s="820"/>
      <c r="V22" s="555"/>
      <c r="W22" s="555"/>
      <c r="X22" s="556"/>
      <c r="Y22" s="820"/>
      <c r="Z22" s="820"/>
    </row>
    <row r="23" spans="2:26" ht="12.95" customHeight="1" x14ac:dyDescent="0.25">
      <c r="B23" s="60"/>
      <c r="C23" s="1219" t="str">
        <f>O23&amp;" - "&amp;O24&amp;" 
"&amp;DATA!M28&amp;" = "&amp;O25</f>
        <v>0 - 0 
INCOME = 0</v>
      </c>
      <c r="D23" s="1220"/>
      <c r="E23" s="1220"/>
      <c r="F23" s="1220"/>
      <c r="G23" s="533" t="str">
        <f>DATA!M26</f>
        <v xml:space="preserve">Income before interest on home loan = </v>
      </c>
      <c r="H23" s="828"/>
      <c r="I23" s="48"/>
      <c r="J23" s="35"/>
      <c r="K23" s="35"/>
      <c r="L23" s="35"/>
      <c r="M23" s="35"/>
      <c r="N23" s="36"/>
      <c r="O23" s="1215">
        <f>DATA!Q26</f>
        <v>0</v>
      </c>
      <c r="P23" s="1215"/>
      <c r="Q23" s="1216"/>
      <c r="R23" s="48"/>
      <c r="S23" s="831"/>
      <c r="T23" s="825"/>
      <c r="U23" s="820"/>
      <c r="V23" s="555"/>
      <c r="W23" s="555"/>
      <c r="X23" s="556"/>
      <c r="Y23" s="820"/>
      <c r="Z23" s="820"/>
    </row>
    <row r="24" spans="2:26" ht="12.95" customHeight="1" x14ac:dyDescent="0.25">
      <c r="B24" s="60"/>
      <c r="C24" s="1219"/>
      <c r="D24" s="1220"/>
      <c r="E24" s="1220"/>
      <c r="F24" s="1220"/>
      <c r="G24" s="533" t="str">
        <f>DATA!M27</f>
        <v>Interest Paid by you for Let-out Property</v>
      </c>
      <c r="H24" s="828"/>
      <c r="I24" s="48"/>
      <c r="J24" s="35"/>
      <c r="K24" s="35"/>
      <c r="L24" s="35"/>
      <c r="M24" s="35"/>
      <c r="N24" s="36"/>
      <c r="O24" s="1215">
        <f>DATA!Q27</f>
        <v>0</v>
      </c>
      <c r="P24" s="1215"/>
      <c r="Q24" s="1216"/>
      <c r="R24" s="48"/>
      <c r="S24" s="831"/>
      <c r="T24" s="825"/>
      <c r="U24" s="820"/>
      <c r="V24" s="555"/>
      <c r="W24" s="555"/>
      <c r="X24" s="556"/>
      <c r="Y24" s="820"/>
      <c r="Z24" s="820"/>
    </row>
    <row r="25" spans="2:26" ht="12.95" customHeight="1" thickBot="1" x14ac:dyDescent="0.3">
      <c r="B25" s="60"/>
      <c r="C25" s="1221"/>
      <c r="D25" s="1222"/>
      <c r="E25" s="1222"/>
      <c r="F25" s="1222"/>
      <c r="G25" s="534" t="str">
        <f>IF(O25=0,"Income / Loss from Let-out Property",IF(O25&lt;0,"LOSS from Let-out Property",IF(O25&gt;0,"INCOME from Let-out Property")))</f>
        <v>Income / Loss from Let-out Property</v>
      </c>
      <c r="H25" s="535"/>
      <c r="I25" s="535"/>
      <c r="J25" s="535"/>
      <c r="K25" s="535"/>
      <c r="L25" s="535"/>
      <c r="M25" s="535"/>
      <c r="N25" s="536"/>
      <c r="O25" s="1223">
        <f>DATA!Q28</f>
        <v>0</v>
      </c>
      <c r="P25" s="1223"/>
      <c r="Q25" s="1224"/>
      <c r="R25" s="424"/>
      <c r="S25" s="831">
        <f>DATA!Q28</f>
        <v>0</v>
      </c>
      <c r="T25" s="825">
        <f>SUM(S18:S25)</f>
        <v>0</v>
      </c>
      <c r="U25" s="820"/>
      <c r="V25" s="820"/>
      <c r="W25" s="820"/>
      <c r="X25" s="820"/>
      <c r="Y25" s="820"/>
      <c r="Z25" s="820"/>
    </row>
    <row r="26" spans="2:26" ht="14.1" customHeight="1" thickTop="1" x14ac:dyDescent="0.25">
      <c r="B26" s="60"/>
      <c r="C26" s="452" t="s">
        <v>218</v>
      </c>
      <c r="D26" s="452"/>
      <c r="E26" s="452"/>
      <c r="F26" s="452"/>
      <c r="G26" s="446"/>
      <c r="H26" s="446"/>
      <c r="I26" s="446"/>
      <c r="J26" s="1218"/>
      <c r="K26" s="1218"/>
      <c r="L26" s="1218"/>
      <c r="M26" s="1218"/>
      <c r="N26" s="1218"/>
      <c r="O26" s="529"/>
      <c r="P26" s="529"/>
      <c r="Q26" s="529"/>
      <c r="R26" s="36"/>
      <c r="S26" s="831"/>
      <c r="T26" s="475">
        <f>SUM(T17,T25)</f>
        <v>903405</v>
      </c>
      <c r="U26" s="820"/>
      <c r="V26" s="820"/>
      <c r="W26" s="820"/>
      <c r="X26" s="820"/>
      <c r="Y26" s="820"/>
      <c r="Z26" s="820"/>
    </row>
    <row r="27" spans="2:26" ht="14.1" customHeight="1" x14ac:dyDescent="0.25">
      <c r="B27" s="60">
        <v>6</v>
      </c>
      <c r="C27" s="455" t="s">
        <v>219</v>
      </c>
      <c r="D27" s="452"/>
      <c r="E27" s="452"/>
      <c r="F27" s="452"/>
      <c r="G27" s="447"/>
      <c r="H27" s="447"/>
      <c r="I27" s="447"/>
      <c r="J27" s="1253"/>
      <c r="K27" s="1253"/>
      <c r="L27" s="1253"/>
      <c r="M27" s="1253"/>
      <c r="N27" s="1253"/>
      <c r="O27" s="436"/>
      <c r="P27" s="436"/>
      <c r="Q27" s="436"/>
      <c r="R27" s="462"/>
      <c r="S27" s="831"/>
      <c r="T27" s="825"/>
      <c r="U27" s="820"/>
      <c r="V27" s="820"/>
      <c r="W27" s="820"/>
      <c r="X27" s="820"/>
      <c r="Y27" s="820"/>
      <c r="Z27" s="820"/>
    </row>
    <row r="28" spans="2:26" ht="12.95" customHeight="1" x14ac:dyDescent="0.25">
      <c r="B28" s="60"/>
      <c r="C28" s="45" t="s">
        <v>206</v>
      </c>
      <c r="D28" s="64" t="str">
        <f>DATA!D5&amp;"       :   A/c No. :  "&amp;DATA!H26</f>
        <v>CPS       :   A/c No. :  9963535304</v>
      </c>
      <c r="E28" s="64"/>
      <c r="F28" s="64"/>
      <c r="G28" s="54"/>
      <c r="H28" s="54"/>
      <c r="I28" s="54"/>
      <c r="J28" s="1212" t="s">
        <v>220</v>
      </c>
      <c r="K28" s="1212"/>
      <c r="L28" s="1212"/>
      <c r="M28" s="1212"/>
      <c r="N28" s="1212"/>
      <c r="O28" s="54"/>
      <c r="P28" s="54"/>
      <c r="Q28" s="54"/>
      <c r="R28" s="431"/>
      <c r="S28" s="824">
        <f>KEY!AV3</f>
        <v>0</v>
      </c>
      <c r="T28" s="825"/>
      <c r="U28" s="820"/>
      <c r="V28" s="820"/>
      <c r="W28" s="820"/>
      <c r="X28" s="820"/>
      <c r="Y28" s="820"/>
      <c r="Z28" s="820"/>
    </row>
    <row r="29" spans="2:26" ht="12.95" customHeight="1" x14ac:dyDescent="0.25">
      <c r="B29" s="60"/>
      <c r="C29" s="45" t="s">
        <v>209</v>
      </c>
      <c r="D29" s="64" t="str">
        <f>"A.P.G.L.I.  :   A/c No. :  "&amp;DATA!H25</f>
        <v>A.P.G.L.I.  :   A/c No. :  L-123456</v>
      </c>
      <c r="E29" s="64"/>
      <c r="F29" s="64"/>
      <c r="G29" s="54"/>
      <c r="H29" s="54"/>
      <c r="I29" s="54"/>
      <c r="J29" s="1212" t="s">
        <v>220</v>
      </c>
      <c r="K29" s="1212"/>
      <c r="L29" s="1212"/>
      <c r="M29" s="1212"/>
      <c r="N29" s="1212"/>
      <c r="O29" s="54"/>
      <c r="P29" s="54"/>
      <c r="Q29" s="54"/>
      <c r="R29" s="431"/>
      <c r="S29" s="824">
        <f>KEY!AV4</f>
        <v>0</v>
      </c>
      <c r="T29" s="825"/>
      <c r="U29" s="820"/>
      <c r="V29" s="820"/>
      <c r="W29" s="820"/>
      <c r="X29" s="820"/>
      <c r="Y29" s="820"/>
      <c r="Z29" s="820"/>
    </row>
    <row r="30" spans="2:26" ht="12.95" customHeight="1" x14ac:dyDescent="0.25">
      <c r="B30" s="60"/>
      <c r="C30" s="45" t="s">
        <v>221</v>
      </c>
      <c r="D30" s="64" t="s">
        <v>222</v>
      </c>
      <c r="E30" s="64"/>
      <c r="F30" s="64"/>
      <c r="G30" s="54"/>
      <c r="H30" s="54"/>
      <c r="I30" s="54"/>
      <c r="J30" s="1212" t="s">
        <v>220</v>
      </c>
      <c r="K30" s="1212"/>
      <c r="L30" s="1212"/>
      <c r="M30" s="1212"/>
      <c r="N30" s="1212"/>
      <c r="O30" s="54"/>
      <c r="P30" s="54"/>
      <c r="Q30" s="54"/>
      <c r="R30" s="431"/>
      <c r="S30" s="824">
        <f>KEY!AV5</f>
        <v>0</v>
      </c>
      <c r="T30" s="825"/>
      <c r="U30" s="820"/>
      <c r="V30" s="820"/>
      <c r="W30" s="820"/>
      <c r="X30" s="820"/>
      <c r="Y30" s="820"/>
      <c r="Z30" s="820"/>
    </row>
    <row r="31" spans="2:26" ht="12.95" customHeight="1" x14ac:dyDescent="0.25">
      <c r="B31" s="60"/>
      <c r="C31" s="45" t="s">
        <v>223</v>
      </c>
      <c r="D31" s="64" t="str">
        <f>IF(AND(DATA!Q3&gt;0,DATA!C41&gt;0),"L.I.C.  (From Salary Deduction &amp; paid by Hand)",  IF(AND(DATA!Q3=0,DATA!C41&gt;0),"L.I.C. PREMIUMS (From Salary Deduction)","L.I.C. PREMIUMS (Paid by Hand)"))</f>
        <v>L.I.C. PREMIUMS (Paid by Hand)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54"/>
      <c r="P31" s="54"/>
      <c r="Q31" s="54"/>
      <c r="R31" s="431"/>
      <c r="S31" s="824">
        <f>KEY!AV6</f>
        <v>0</v>
      </c>
      <c r="T31" s="825"/>
      <c r="U31" s="820"/>
      <c r="V31" s="820"/>
      <c r="W31" s="820"/>
      <c r="X31" s="820"/>
      <c r="Y31" s="820"/>
      <c r="Z31" s="820"/>
    </row>
    <row r="32" spans="2:26" ht="12.95" customHeight="1" x14ac:dyDescent="0.25">
      <c r="B32" s="60"/>
      <c r="C32" s="45" t="s">
        <v>224</v>
      </c>
      <c r="D32" s="64" t="s">
        <v>225</v>
      </c>
      <c r="E32" s="64"/>
      <c r="F32" s="64"/>
      <c r="G32" s="54"/>
      <c r="H32" s="54"/>
      <c r="I32" s="54"/>
      <c r="J32" s="62"/>
      <c r="K32" s="62"/>
      <c r="L32" s="62"/>
      <c r="M32" s="62"/>
      <c r="N32" s="463"/>
      <c r="O32" s="463"/>
      <c r="P32" s="463"/>
      <c r="Q32" s="463"/>
      <c r="R32" s="63"/>
      <c r="S32" s="824">
        <f>KEY!AV7</f>
        <v>0</v>
      </c>
      <c r="T32" s="825"/>
      <c r="U32" s="820"/>
      <c r="V32" s="820"/>
      <c r="W32" s="820"/>
      <c r="X32" s="820"/>
      <c r="Y32" s="820"/>
      <c r="Z32" s="820"/>
    </row>
    <row r="33" spans="2:27" ht="12.95" customHeight="1" x14ac:dyDescent="0.25">
      <c r="B33" s="60"/>
      <c r="C33" s="46" t="s">
        <v>226</v>
      </c>
      <c r="D33" s="64" t="s">
        <v>12</v>
      </c>
      <c r="E33" s="64"/>
      <c r="F33" s="64"/>
      <c r="G33" s="54"/>
      <c r="H33" s="54"/>
      <c r="I33" s="54"/>
      <c r="J33" s="62"/>
      <c r="K33" s="62"/>
      <c r="L33" s="62"/>
      <c r="M33" s="62"/>
      <c r="N33" s="463"/>
      <c r="O33" s="463"/>
      <c r="P33" s="463"/>
      <c r="Q33" s="463"/>
      <c r="R33" s="63"/>
      <c r="S33" s="824">
        <f>KEY!AV8</f>
        <v>0</v>
      </c>
      <c r="T33" s="825"/>
      <c r="U33" s="820"/>
      <c r="V33" s="820"/>
      <c r="W33" s="820"/>
      <c r="X33" s="820"/>
      <c r="Y33" s="820"/>
      <c r="Z33" s="820"/>
      <c r="AA33" s="820"/>
    </row>
    <row r="34" spans="2:27" ht="12.95" customHeight="1" x14ac:dyDescent="0.25">
      <c r="B34" s="60"/>
      <c r="C34" s="45" t="s">
        <v>227</v>
      </c>
      <c r="D34" s="64" t="s">
        <v>228</v>
      </c>
      <c r="E34" s="64"/>
      <c r="F34" s="64"/>
      <c r="G34" s="54"/>
      <c r="H34" s="54"/>
      <c r="I34" s="54"/>
      <c r="J34" s="62"/>
      <c r="K34" s="62"/>
      <c r="L34" s="62"/>
      <c r="M34" s="62"/>
      <c r="N34" s="463"/>
      <c r="O34" s="463"/>
      <c r="P34" s="463"/>
      <c r="Q34" s="463"/>
      <c r="R34" s="63"/>
      <c r="S34" s="824">
        <f>KEY!AV9</f>
        <v>0</v>
      </c>
      <c r="T34" s="825"/>
      <c r="U34" s="820"/>
      <c r="V34" s="820"/>
      <c r="W34" s="820"/>
      <c r="X34" s="820"/>
      <c r="Y34" s="820"/>
      <c r="Z34" s="820"/>
      <c r="AA34" s="820"/>
    </row>
    <row r="35" spans="2:27" ht="12.95" customHeight="1" x14ac:dyDescent="0.25">
      <c r="B35" s="60"/>
      <c r="C35" s="45" t="s">
        <v>229</v>
      </c>
      <c r="D35" s="64" t="s">
        <v>19</v>
      </c>
      <c r="E35" s="64"/>
      <c r="F35" s="64"/>
      <c r="G35" s="54"/>
      <c r="H35" s="54"/>
      <c r="I35" s="54"/>
      <c r="J35" s="62"/>
      <c r="K35" s="62"/>
      <c r="L35" s="62"/>
      <c r="M35" s="62"/>
      <c r="N35" s="463"/>
      <c r="O35" s="463"/>
      <c r="P35" s="463"/>
      <c r="Q35" s="463"/>
      <c r="R35" s="63"/>
      <c r="S35" s="824">
        <f>KEY!AV10</f>
        <v>0</v>
      </c>
      <c r="T35" s="825"/>
      <c r="U35" s="820"/>
      <c r="V35" s="820"/>
      <c r="W35" s="820"/>
      <c r="X35" s="820"/>
      <c r="Y35" s="820"/>
      <c r="Z35" s="820"/>
      <c r="AA35" s="820"/>
    </row>
    <row r="36" spans="2:27" ht="12.95" customHeight="1" x14ac:dyDescent="0.25">
      <c r="B36" s="60"/>
      <c r="C36" s="45" t="s">
        <v>230</v>
      </c>
      <c r="D36" s="64" t="s">
        <v>22</v>
      </c>
      <c r="E36" s="64"/>
      <c r="F36" s="64"/>
      <c r="G36" s="54"/>
      <c r="H36" s="54"/>
      <c r="I36" s="54"/>
      <c r="J36" s="62"/>
      <c r="K36" s="62"/>
      <c r="L36" s="62"/>
      <c r="M36" s="62"/>
      <c r="N36" s="463"/>
      <c r="O36" s="463"/>
      <c r="P36" s="463"/>
      <c r="Q36" s="463"/>
      <c r="R36" s="63"/>
      <c r="S36" s="824">
        <f>KEY!AV11</f>
        <v>0</v>
      </c>
      <c r="T36" s="825"/>
      <c r="U36" s="820"/>
      <c r="V36" s="820"/>
      <c r="W36" s="820"/>
      <c r="X36" s="820"/>
      <c r="Y36" s="820"/>
      <c r="Z36" s="820"/>
      <c r="AA36" s="820"/>
    </row>
    <row r="37" spans="2:27" ht="12.95" customHeight="1" x14ac:dyDescent="0.25">
      <c r="B37" s="60"/>
      <c r="C37" s="45" t="s">
        <v>231</v>
      </c>
      <c r="D37" s="64" t="s">
        <v>26</v>
      </c>
      <c r="E37" s="64"/>
      <c r="F37" s="64"/>
      <c r="G37" s="54"/>
      <c r="H37" s="54"/>
      <c r="I37" s="54"/>
      <c r="J37" s="62"/>
      <c r="K37" s="62"/>
      <c r="L37" s="62"/>
      <c r="M37" s="62"/>
      <c r="N37" s="463"/>
      <c r="O37" s="463"/>
      <c r="P37" s="463"/>
      <c r="Q37" s="463"/>
      <c r="R37" s="63"/>
      <c r="S37" s="824">
        <f>KEY!AV12</f>
        <v>0</v>
      </c>
      <c r="T37" s="825"/>
      <c r="U37" s="820"/>
      <c r="V37" s="820"/>
      <c r="W37" s="820"/>
      <c r="X37" s="820"/>
      <c r="Y37" s="820"/>
      <c r="Z37" s="820"/>
      <c r="AA37" s="820"/>
    </row>
    <row r="38" spans="2:27" ht="12.95" customHeight="1" x14ac:dyDescent="0.25">
      <c r="B38" s="60"/>
      <c r="C38" s="45" t="s">
        <v>232</v>
      </c>
      <c r="D38" s="64" t="str">
        <f>IF(DATA!M10="","ATAL PENSION YOJANA",DATA!M10)</f>
        <v xml:space="preserve">STAMP DUTY &amp; REGISTRATION </v>
      </c>
      <c r="E38" s="64"/>
      <c r="F38" s="64"/>
      <c r="G38" s="54"/>
      <c r="H38" s="54"/>
      <c r="I38" s="54"/>
      <c r="J38" s="62"/>
      <c r="K38" s="62"/>
      <c r="L38" s="62"/>
      <c r="M38" s="62"/>
      <c r="N38" s="463"/>
      <c r="O38" s="463"/>
      <c r="P38" s="463"/>
      <c r="Q38" s="463"/>
      <c r="R38" s="63"/>
      <c r="S38" s="824">
        <f>KEY!AV13</f>
        <v>0</v>
      </c>
      <c r="T38" s="825"/>
      <c r="U38" s="820"/>
      <c r="V38" s="820"/>
      <c r="W38" s="820"/>
      <c r="X38" s="820"/>
      <c r="Y38" s="820"/>
      <c r="Z38" s="820"/>
      <c r="AA38" s="820"/>
    </row>
    <row r="39" spans="2:27" ht="12.95" customHeight="1" x14ac:dyDescent="0.25">
      <c r="B39" s="60"/>
      <c r="C39" s="45" t="s">
        <v>233</v>
      </c>
      <c r="D39" s="64" t="str">
        <f>IF(DATA!M11="","MUTUAL FUNDS ",DATA!M11)</f>
        <v>HDFC LIFE INSURANCE</v>
      </c>
      <c r="E39" s="64"/>
      <c r="F39" s="64"/>
      <c r="G39" s="54"/>
      <c r="H39" s="54"/>
      <c r="I39" s="54"/>
      <c r="J39" s="62"/>
      <c r="K39" s="62"/>
      <c r="L39" s="62"/>
      <c r="M39" s="62"/>
      <c r="N39" s="463"/>
      <c r="O39" s="463"/>
      <c r="P39" s="463"/>
      <c r="Q39" s="463"/>
      <c r="R39" s="63"/>
      <c r="S39" s="824">
        <f>KEY!AV14</f>
        <v>0</v>
      </c>
      <c r="T39" s="825"/>
      <c r="U39" s="820"/>
      <c r="V39" s="820"/>
      <c r="W39" s="820"/>
      <c r="X39" s="820"/>
      <c r="Y39" s="820"/>
      <c r="Z39" s="820"/>
      <c r="AA39" s="820"/>
    </row>
    <row r="40" spans="2:27" ht="12.95" customHeight="1" x14ac:dyDescent="0.25">
      <c r="B40" s="60"/>
      <c r="C40" s="45" t="s">
        <v>234</v>
      </c>
      <c r="D40" s="64" t="str">
        <f>IF(DATA!M12="","5 Yrs Fixed Deposits ( Bank / Postal )",DATA!M12)</f>
        <v>OTHERS_________________</v>
      </c>
      <c r="E40" s="64"/>
      <c r="F40" s="64"/>
      <c r="G40" s="54"/>
      <c r="H40" s="54"/>
      <c r="I40" s="54"/>
      <c r="J40" s="62"/>
      <c r="K40" s="62"/>
      <c r="L40" s="62"/>
      <c r="M40" s="62"/>
      <c r="N40" s="463"/>
      <c r="O40" s="463"/>
      <c r="P40" s="463"/>
      <c r="Q40" s="463"/>
      <c r="R40" s="63"/>
      <c r="S40" s="824">
        <f>KEY!AV15</f>
        <v>0</v>
      </c>
      <c r="T40" s="825"/>
      <c r="U40" s="820"/>
      <c r="V40" s="820"/>
      <c r="W40" s="820"/>
      <c r="X40" s="820"/>
      <c r="Y40" s="820"/>
      <c r="Z40" s="820"/>
      <c r="AA40" s="820"/>
    </row>
    <row r="41" spans="2:27" ht="14.1" customHeight="1" x14ac:dyDescent="0.25">
      <c r="B41" s="60"/>
      <c r="C41" s="421" t="s">
        <v>235</v>
      </c>
      <c r="D41" s="451"/>
      <c r="E41" s="451"/>
      <c r="F41" s="451"/>
      <c r="G41" s="428"/>
      <c r="H41" s="428"/>
      <c r="I41" s="428"/>
      <c r="J41" s="1217" t="s">
        <v>236</v>
      </c>
      <c r="K41" s="1217"/>
      <c r="L41" s="1217"/>
      <c r="M41" s="1217"/>
      <c r="N41" s="1217"/>
      <c r="O41" s="424"/>
      <c r="P41" s="424"/>
      <c r="Q41" s="424"/>
      <c r="R41" s="430"/>
      <c r="S41" s="831">
        <f>SUM(S28:S40)</f>
        <v>0</v>
      </c>
      <c r="T41" s="476">
        <f>MIN(S41,150000)</f>
        <v>0</v>
      </c>
      <c r="U41" s="820"/>
      <c r="V41" s="820"/>
      <c r="W41" s="820"/>
      <c r="X41" s="820"/>
      <c r="Y41" s="820"/>
      <c r="Z41" s="820"/>
      <c r="AA41" s="820"/>
    </row>
    <row r="42" spans="2:27" ht="14.1" customHeight="1" x14ac:dyDescent="0.25">
      <c r="B42" s="60"/>
      <c r="C42" s="64" t="s">
        <v>237</v>
      </c>
      <c r="D42" s="64"/>
      <c r="E42" s="458"/>
      <c r="F42" s="458"/>
      <c r="G42" s="429"/>
      <c r="H42" s="429"/>
      <c r="I42" s="429"/>
      <c r="J42" s="1217" t="s">
        <v>238</v>
      </c>
      <c r="K42" s="1217"/>
      <c r="L42" s="1217"/>
      <c r="M42" s="1217"/>
      <c r="N42" s="1217"/>
      <c r="O42" s="424"/>
      <c r="P42" s="424"/>
      <c r="Q42" s="424"/>
      <c r="R42" s="430"/>
      <c r="S42" s="831">
        <f>KEY!AV17</f>
        <v>0</v>
      </c>
      <c r="T42" s="476">
        <f>IF(S42&gt;0,MIN(S42,50000),0)</f>
        <v>0</v>
      </c>
      <c r="U42" s="820"/>
      <c r="V42" s="119">
        <f>IF(AND(DATA!D5="CPS",DATA!Q14="YES"),1,0)</f>
        <v>1</v>
      </c>
      <c r="W42" s="118" t="s">
        <v>239</v>
      </c>
      <c r="X42" s="834"/>
      <c r="Y42" s="820"/>
      <c r="Z42" s="820"/>
      <c r="AA42" s="820"/>
    </row>
    <row r="43" spans="2:27" ht="14.1" customHeight="1" x14ac:dyDescent="0.25">
      <c r="B43" s="60">
        <v>7</v>
      </c>
      <c r="C43" s="64" t="s">
        <v>240</v>
      </c>
      <c r="D43" s="64"/>
      <c r="E43" s="458"/>
      <c r="F43" s="458"/>
      <c r="G43" s="429"/>
      <c r="H43" s="429"/>
      <c r="I43" s="429"/>
      <c r="J43" s="64" t="s">
        <v>241</v>
      </c>
      <c r="K43" s="64"/>
      <c r="L43" s="64"/>
      <c r="M43" s="64"/>
      <c r="N43" s="64"/>
      <c r="O43" s="438"/>
      <c r="P43" s="438"/>
      <c r="Q43" s="438"/>
      <c r="R43" s="438"/>
      <c r="S43" s="831">
        <f>KEY!AV19</f>
        <v>0</v>
      </c>
      <c r="T43" s="835">
        <f>S43</f>
        <v>0</v>
      </c>
      <c r="U43" s="820"/>
      <c r="V43" s="1258" t="str">
        <f>IF(AND(DATA!D5="CPS",DATA!Q14="YES"),"CPS DEDUCTION  =","")</f>
        <v>CPS DEDUCTION  =</v>
      </c>
      <c r="W43" s="1259"/>
      <c r="X43" s="480">
        <f>KEY!AP3</f>
        <v>90931</v>
      </c>
      <c r="Y43" s="820"/>
      <c r="Z43" s="820"/>
      <c r="AA43" s="820"/>
    </row>
    <row r="44" spans="2:27" ht="14.1" customHeight="1" x14ac:dyDescent="0.25">
      <c r="B44" s="60">
        <v>8</v>
      </c>
      <c r="C44" s="64" t="s">
        <v>242</v>
      </c>
      <c r="D44" s="64"/>
      <c r="E44" s="64"/>
      <c r="F44" s="64"/>
      <c r="G44" s="429"/>
      <c r="H44" s="429"/>
      <c r="I44" s="429"/>
      <c r="J44" s="1217"/>
      <c r="K44" s="1217"/>
      <c r="L44" s="1217"/>
      <c r="M44" s="1217"/>
      <c r="N44" s="1217"/>
      <c r="O44" s="35"/>
      <c r="P44" s="35"/>
      <c r="Q44" s="35"/>
      <c r="R44" s="36"/>
      <c r="S44" s="831"/>
      <c r="T44" s="475">
        <f>MAX(0,T26-T41-T42-T43)</f>
        <v>903405</v>
      </c>
      <c r="U44" s="37"/>
      <c r="V44" s="1260" t="str">
        <f>IF(AND(DATA!D5="CPS",DATA!Q14="YES"),"80CCD (1)      =","")</f>
        <v>80CCD (1)      =</v>
      </c>
      <c r="W44" s="1261"/>
      <c r="X44" s="836">
        <f>KEY!AV3</f>
        <v>0</v>
      </c>
      <c r="Y44" s="820"/>
      <c r="Z44" s="820"/>
      <c r="AA44" s="820"/>
    </row>
    <row r="45" spans="2:27" ht="14.1" customHeight="1" x14ac:dyDescent="0.25">
      <c r="B45" s="60">
        <v>9</v>
      </c>
      <c r="C45" s="421" t="s">
        <v>243</v>
      </c>
      <c r="D45" s="64"/>
      <c r="E45" s="64"/>
      <c r="F45" s="64"/>
      <c r="G45" s="64"/>
      <c r="H45" s="64"/>
      <c r="I45" s="64"/>
      <c r="J45" s="35"/>
      <c r="K45" s="35"/>
      <c r="L45" s="35"/>
      <c r="M45" s="35"/>
      <c r="N45" s="35"/>
      <c r="O45" s="35"/>
      <c r="P45" s="35"/>
      <c r="Q45" s="35"/>
      <c r="R45" s="35"/>
      <c r="S45" s="831"/>
      <c r="T45" s="825"/>
      <c r="U45" s="37"/>
      <c r="V45" s="1235" t="str">
        <f>IF(AND(DATA!D5="CPS",DATA!Q14="YES"),"80CCD (1)(B) =","")</f>
        <v>80CCD (1)(B) =</v>
      </c>
      <c r="W45" s="1235"/>
      <c r="X45" s="836">
        <f>KEY!AV17</f>
        <v>0</v>
      </c>
      <c r="Y45" s="820"/>
      <c r="Z45" s="820"/>
      <c r="AA45" s="820"/>
    </row>
    <row r="46" spans="2:27" ht="12.95" customHeight="1" x14ac:dyDescent="0.25">
      <c r="B46" s="60"/>
      <c r="C46" s="46" t="s">
        <v>206</v>
      </c>
      <c r="D46" s="458" t="s">
        <v>244</v>
      </c>
      <c r="E46" s="458"/>
      <c r="F46" s="458"/>
      <c r="G46" s="429"/>
      <c r="H46" s="429"/>
      <c r="I46" s="429"/>
      <c r="J46" s="1234" t="s">
        <v>220</v>
      </c>
      <c r="K46" s="1234"/>
      <c r="L46" s="1234"/>
      <c r="M46" s="1234"/>
      <c r="N46" s="1234"/>
      <c r="O46" s="48"/>
      <c r="P46" s="48"/>
      <c r="Q46" s="48"/>
      <c r="R46" s="373"/>
      <c r="S46" s="831">
        <f>KEY!AV21</f>
        <v>0</v>
      </c>
      <c r="T46" s="825"/>
      <c r="U46" s="37"/>
      <c r="V46" s="1235" t="s">
        <v>245</v>
      </c>
      <c r="W46" s="1235"/>
      <c r="X46" s="836">
        <f>KEY!AV19</f>
        <v>0</v>
      </c>
      <c r="Y46" s="820"/>
      <c r="Z46" s="820"/>
      <c r="AA46" s="820"/>
    </row>
    <row r="47" spans="2:27" ht="12.95" customHeight="1" x14ac:dyDescent="0.25">
      <c r="B47" s="60"/>
      <c r="C47" s="45" t="s">
        <v>209</v>
      </c>
      <c r="D47" s="54" t="str">
        <f>DATA!M29</f>
        <v xml:space="preserve">24(b) Interest on Housing Loan Advance U/s 24B  </v>
      </c>
      <c r="E47" s="54"/>
      <c r="F47" s="54"/>
      <c r="G47" s="54"/>
      <c r="H47" s="54"/>
      <c r="I47" s="54"/>
      <c r="J47" s="48"/>
      <c r="K47" s="48"/>
      <c r="L47" s="48"/>
      <c r="M47" s="48"/>
      <c r="N47" s="48"/>
      <c r="O47" s="48"/>
      <c r="P47" s="48"/>
      <c r="Q47" s="48"/>
      <c r="R47" s="48"/>
      <c r="S47" s="831">
        <f>KEY!AV22</f>
        <v>0</v>
      </c>
      <c r="T47" s="825"/>
      <c r="U47" s="37"/>
      <c r="V47" s="1236" t="s">
        <v>246</v>
      </c>
      <c r="W47" s="1236"/>
      <c r="X47" s="1236"/>
      <c r="Y47" s="820"/>
      <c r="Z47" s="820"/>
      <c r="AA47" s="837"/>
    </row>
    <row r="48" spans="2:27" ht="12.95" customHeight="1" x14ac:dyDescent="0.25">
      <c r="B48" s="60"/>
      <c r="C48" s="45" t="s">
        <v>221</v>
      </c>
      <c r="D48" s="54" t="str">
        <f>DATA!M30</f>
        <v>80EEA : Interest on Home Loan in FY:2019-22 , House Value&lt;=45L</v>
      </c>
      <c r="E48" s="54"/>
      <c r="F48" s="54"/>
      <c r="G48" s="54"/>
      <c r="H48" s="54"/>
      <c r="I48" s="54"/>
      <c r="J48" s="48"/>
      <c r="K48" s="48"/>
      <c r="L48" s="48"/>
      <c r="M48" s="48"/>
      <c r="N48" s="48"/>
      <c r="O48" s="48"/>
      <c r="P48" s="48"/>
      <c r="Q48" s="48"/>
      <c r="R48" s="48"/>
      <c r="S48" s="831">
        <f>KEY!AV23</f>
        <v>0</v>
      </c>
      <c r="T48" s="825"/>
      <c r="U48" s="37"/>
      <c r="V48" s="50" t="s">
        <v>192</v>
      </c>
      <c r="W48" s="51" t="s">
        <v>247</v>
      </c>
      <c r="X48" s="479">
        <f>T7</f>
        <v>978405</v>
      </c>
      <c r="Y48" s="820"/>
      <c r="Z48" s="820"/>
      <c r="AA48" s="837"/>
    </row>
    <row r="49" spans="2:28" ht="12.95" customHeight="1" x14ac:dyDescent="0.25">
      <c r="B49" s="60"/>
      <c r="C49" s="45" t="s">
        <v>223</v>
      </c>
      <c r="D49" s="54" t="str">
        <f>DATA!M31</f>
        <v>80EE   : Interest on Home Loan in FY:2016-17 , House Value&lt;50L</v>
      </c>
      <c r="E49" s="54"/>
      <c r="F49" s="54"/>
      <c r="G49" s="54"/>
      <c r="H49" s="54"/>
      <c r="I49" s="54"/>
      <c r="J49" s="48"/>
      <c r="K49" s="48"/>
      <c r="L49" s="48"/>
      <c r="M49" s="48"/>
      <c r="N49" s="48"/>
      <c r="O49" s="48"/>
      <c r="P49" s="48"/>
      <c r="Q49" s="48"/>
      <c r="R49" s="48"/>
      <c r="S49" s="831">
        <f>KEY!AV24</f>
        <v>0</v>
      </c>
      <c r="T49" s="825"/>
      <c r="U49" s="37"/>
      <c r="V49" s="50" t="s">
        <v>195</v>
      </c>
      <c r="W49" s="55" t="s">
        <v>248</v>
      </c>
      <c r="X49" s="838">
        <f>T11</f>
        <v>0</v>
      </c>
      <c r="Y49" s="820"/>
      <c r="Z49" s="820"/>
      <c r="AA49" s="837"/>
      <c r="AB49" s="820"/>
    </row>
    <row r="50" spans="2:28" ht="12.95" customHeight="1" x14ac:dyDescent="0.25">
      <c r="B50" s="60"/>
      <c r="C50" s="46" t="s">
        <v>224</v>
      </c>
      <c r="D50" s="54" t="str">
        <f>DATA!M32</f>
        <v>80E     : Interest on Educational Loan</v>
      </c>
      <c r="E50" s="54"/>
      <c r="F50" s="54"/>
      <c r="G50" s="54"/>
      <c r="H50" s="54"/>
      <c r="I50" s="54"/>
      <c r="J50" s="48"/>
      <c r="K50" s="48"/>
      <c r="L50" s="48"/>
      <c r="M50" s="48"/>
      <c r="N50" s="48"/>
      <c r="O50" s="48"/>
      <c r="P50" s="48"/>
      <c r="Q50" s="48"/>
      <c r="R50" s="48"/>
      <c r="S50" s="831">
        <f>KEY!AV25</f>
        <v>0</v>
      </c>
      <c r="T50" s="825"/>
      <c r="U50" s="37"/>
      <c r="V50" s="50" t="s">
        <v>197</v>
      </c>
      <c r="W50" s="473" t="s">
        <v>249</v>
      </c>
      <c r="X50" s="479">
        <f>T25</f>
        <v>0</v>
      </c>
      <c r="Y50" s="820"/>
      <c r="Z50" s="820"/>
      <c r="AA50" s="837"/>
      <c r="AB50" s="820"/>
    </row>
    <row r="51" spans="2:28" ht="12.95" customHeight="1" x14ac:dyDescent="0.25">
      <c r="B51" s="60"/>
      <c r="C51" s="45" t="s">
        <v>226</v>
      </c>
      <c r="D51" s="54" t="str">
        <f>DATA!M33</f>
        <v>80TTA : Interest on Savings A/c.  (AGE &lt;= 60)</v>
      </c>
      <c r="E51" s="54"/>
      <c r="F51" s="54"/>
      <c r="G51" s="54"/>
      <c r="H51" s="54"/>
      <c r="I51" s="54"/>
      <c r="J51" s="35"/>
      <c r="K51" s="1212" t="str">
        <f>IF(AND(AGE&gt;60,S51&gt;0),"(80TTB is Limited to 50,000)",IF(AND(AGE&lt;=60,S51&gt;0),"(80TTA is Limited to 10,000)",""))</f>
        <v/>
      </c>
      <c r="L51" s="1212"/>
      <c r="M51" s="1212"/>
      <c r="N51" s="1212"/>
      <c r="O51" s="1212"/>
      <c r="P51" s="1212"/>
      <c r="Q51" s="1212"/>
      <c r="R51" s="35"/>
      <c r="S51" s="831">
        <f>KEY!AV26</f>
        <v>0</v>
      </c>
      <c r="T51" s="825"/>
      <c r="U51" s="37"/>
      <c r="V51" s="50" t="s">
        <v>250</v>
      </c>
      <c r="W51" s="55" t="s">
        <v>251</v>
      </c>
      <c r="X51" s="838">
        <f>T16</f>
        <v>75000</v>
      </c>
      <c r="Y51" s="820"/>
      <c r="Z51" s="820"/>
      <c r="AA51" s="820"/>
      <c r="AB51" s="820"/>
    </row>
    <row r="52" spans="2:28" ht="12.95" customHeight="1" x14ac:dyDescent="0.25">
      <c r="B52" s="60"/>
      <c r="C52" s="46" t="s">
        <v>227</v>
      </c>
      <c r="D52" s="64" t="str">
        <f>DATA!M34</f>
        <v>Deduction for DISABLED (SELF) u/s 80U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337"/>
      <c r="S52" s="831">
        <f>KEY!AV27</f>
        <v>0</v>
      </c>
      <c r="T52" s="825"/>
      <c r="U52" s="37"/>
      <c r="V52" s="50" t="s">
        <v>252</v>
      </c>
      <c r="W52" s="56" t="s">
        <v>253</v>
      </c>
      <c r="X52" s="838">
        <f>T41</f>
        <v>0</v>
      </c>
      <c r="Y52" s="820"/>
      <c r="Z52" s="820"/>
      <c r="AA52" s="820"/>
      <c r="AB52" s="820"/>
    </row>
    <row r="53" spans="2:28" ht="12.95" customHeight="1" x14ac:dyDescent="0.25">
      <c r="B53" s="60"/>
      <c r="C53" s="46" t="s">
        <v>229</v>
      </c>
      <c r="D53" s="64" t="s">
        <v>254</v>
      </c>
      <c r="E53" s="64"/>
      <c r="F53" s="64"/>
      <c r="G53" s="54"/>
      <c r="H53" s="54"/>
      <c r="I53" s="54"/>
      <c r="J53" s="64" t="s">
        <v>255</v>
      </c>
      <c r="K53" s="64"/>
      <c r="L53" s="64"/>
      <c r="M53" s="64"/>
      <c r="N53" s="64"/>
      <c r="O53" s="54"/>
      <c r="P53" s="54"/>
      <c r="Q53" s="54"/>
      <c r="R53" s="431"/>
      <c r="S53" s="831">
        <f>KEY!AV28</f>
        <v>0</v>
      </c>
      <c r="T53" s="825"/>
      <c r="U53" s="37"/>
      <c r="V53" s="50" t="s">
        <v>256</v>
      </c>
      <c r="W53" s="56" t="s">
        <v>257</v>
      </c>
      <c r="X53" s="838">
        <f>SUM(T42)</f>
        <v>0</v>
      </c>
      <c r="Y53" s="820"/>
      <c r="Z53" s="820"/>
      <c r="AA53" s="820"/>
      <c r="AB53" s="820"/>
    </row>
    <row r="54" spans="2:28" ht="12.95" customHeight="1" x14ac:dyDescent="0.25">
      <c r="B54" s="60"/>
      <c r="C54" s="45" t="s">
        <v>230</v>
      </c>
      <c r="D54" s="64" t="s">
        <v>258</v>
      </c>
      <c r="E54" s="64"/>
      <c r="F54" s="64"/>
      <c r="G54" s="54"/>
      <c r="H54" s="54"/>
      <c r="I54" s="54"/>
      <c r="J54" s="64" t="s">
        <v>259</v>
      </c>
      <c r="K54" s="64"/>
      <c r="L54" s="64"/>
      <c r="M54" s="64"/>
      <c r="N54" s="64"/>
      <c r="O54" s="54"/>
      <c r="P54" s="54"/>
      <c r="Q54" s="54"/>
      <c r="R54" s="431"/>
      <c r="S54" s="831">
        <f>KEY!AV29</f>
        <v>0</v>
      </c>
      <c r="T54" s="825"/>
      <c r="U54" s="37"/>
      <c r="V54" s="50" t="s">
        <v>260</v>
      </c>
      <c r="W54" s="56" t="s">
        <v>261</v>
      </c>
      <c r="X54" s="838">
        <f>S43</f>
        <v>0</v>
      </c>
      <c r="Y54" s="820"/>
      <c r="Z54" s="820"/>
      <c r="AA54" s="820"/>
      <c r="AB54" s="820"/>
    </row>
    <row r="55" spans="2:28" ht="12.95" customHeight="1" x14ac:dyDescent="0.25">
      <c r="B55" s="60"/>
      <c r="C55" s="46" t="s">
        <v>231</v>
      </c>
      <c r="D55" s="64" t="s">
        <v>262</v>
      </c>
      <c r="E55" s="64"/>
      <c r="F55" s="64"/>
      <c r="G55" s="54"/>
      <c r="H55" s="54"/>
      <c r="I55" s="54"/>
      <c r="J55" s="64" t="s">
        <v>220</v>
      </c>
      <c r="K55" s="64"/>
      <c r="L55" s="64"/>
      <c r="M55" s="64"/>
      <c r="N55" s="64"/>
      <c r="O55" s="54"/>
      <c r="P55" s="54"/>
      <c r="Q55" s="54"/>
      <c r="R55" s="431"/>
      <c r="S55" s="831">
        <f>KEY!AV30</f>
        <v>0</v>
      </c>
      <c r="T55" s="825"/>
      <c r="U55" s="37"/>
      <c r="V55" s="50" t="s">
        <v>263</v>
      </c>
      <c r="W55" s="49" t="s">
        <v>264</v>
      </c>
      <c r="X55" s="838">
        <f>T56</f>
        <v>0</v>
      </c>
      <c r="Y55" s="820"/>
      <c r="Z55" s="820"/>
      <c r="AA55" s="820"/>
      <c r="AB55" s="820"/>
    </row>
    <row r="56" spans="2:28" ht="14.1" customHeight="1" x14ac:dyDescent="0.25">
      <c r="B56" s="60"/>
      <c r="C56" s="456" t="s">
        <v>265</v>
      </c>
      <c r="D56" s="457"/>
      <c r="E56" s="457"/>
      <c r="F56" s="457"/>
      <c r="G56" s="432"/>
      <c r="H56" s="432"/>
      <c r="I56" s="432"/>
      <c r="J56" s="1234" t="s">
        <v>266</v>
      </c>
      <c r="K56" s="1234"/>
      <c r="L56" s="1234"/>
      <c r="M56" s="1234"/>
      <c r="N56" s="1234"/>
      <c r="O56" s="48"/>
      <c r="P56" s="48"/>
      <c r="Q56" s="48"/>
      <c r="R56" s="48"/>
      <c r="S56" s="831">
        <f>KEY!AV31</f>
        <v>0</v>
      </c>
      <c r="T56" s="825">
        <f>SUM(S46:S55)</f>
        <v>0</v>
      </c>
      <c r="U56" s="37"/>
      <c r="V56" s="52" t="s">
        <v>267</v>
      </c>
      <c r="W56" s="53" t="s">
        <v>268</v>
      </c>
      <c r="X56" s="838">
        <f>X48-X49+X50-X51-X52-X53-X54-X55</f>
        <v>903405</v>
      </c>
      <c r="Y56" s="820"/>
      <c r="Z56" s="820"/>
      <c r="AA56" s="820"/>
      <c r="AB56" s="820"/>
    </row>
    <row r="57" spans="2:28" ht="14.1" customHeight="1" thickBot="1" x14ac:dyDescent="0.3">
      <c r="B57" s="60">
        <v>10</v>
      </c>
      <c r="C57" s="459" t="s">
        <v>13</v>
      </c>
      <c r="D57" s="459"/>
      <c r="E57" s="459"/>
      <c r="F57" s="519"/>
      <c r="G57" s="520"/>
      <c r="H57" s="520"/>
      <c r="I57" s="520"/>
      <c r="J57" s="521" t="s">
        <v>269</v>
      </c>
      <c r="K57" s="436"/>
      <c r="L57" s="436"/>
      <c r="M57" s="436"/>
      <c r="N57" s="839"/>
      <c r="O57" s="522"/>
      <c r="P57" s="450"/>
      <c r="Q57" s="450"/>
      <c r="R57" s="471"/>
      <c r="S57" s="329"/>
      <c r="T57" s="477">
        <f>MAX(0,ROUND(T44-T56,-1))</f>
        <v>903410</v>
      </c>
      <c r="U57" s="37"/>
      <c r="V57" s="57" t="s">
        <v>270</v>
      </c>
      <c r="W57" s="38" t="s">
        <v>271</v>
      </c>
      <c r="X57" s="838">
        <f>ROUND(X56,-1)</f>
        <v>903410</v>
      </c>
      <c r="Y57" s="820"/>
      <c r="Z57"/>
      <c r="AA57" s="820"/>
      <c r="AB57" s="820"/>
    </row>
    <row r="58" spans="2:28" ht="14.1" customHeight="1" thickTop="1" x14ac:dyDescent="0.25">
      <c r="B58" s="60">
        <v>11</v>
      </c>
      <c r="C58" s="460" t="s">
        <v>272</v>
      </c>
      <c r="D58" s="460"/>
      <c r="E58" s="433"/>
      <c r="F58" s="1277" t="s">
        <v>273</v>
      </c>
      <c r="G58" s="1278"/>
      <c r="H58" s="1278"/>
      <c r="I58" s="1278"/>
      <c r="J58" s="1278" t="s">
        <v>274</v>
      </c>
      <c r="K58" s="1278"/>
      <c r="L58" s="1278"/>
      <c r="M58" s="1278"/>
      <c r="N58" s="1278" t="s">
        <v>275</v>
      </c>
      <c r="O58" s="1279"/>
      <c r="P58" s="1280"/>
      <c r="Q58" s="1280"/>
      <c r="R58" s="1281"/>
      <c r="S58" s="842"/>
      <c r="T58" s="825"/>
      <c r="U58" s="37"/>
      <c r="V58" s="820"/>
      <c r="W58" s="820"/>
      <c r="X58" s="820"/>
      <c r="Y58" s="820"/>
      <c r="Z58" s="820"/>
      <c r="AA58" s="820"/>
      <c r="AB58" s="820"/>
    </row>
    <row r="59" spans="2:28" ht="14.1" customHeight="1" x14ac:dyDescent="0.25">
      <c r="B59" s="60"/>
      <c r="C59" s="1285" t="str">
        <f>UPPER(LEFT(KEY!AZ29,3))&amp;" REGIME"</f>
        <v>NEW REGIME</v>
      </c>
      <c r="D59" s="1284" t="s">
        <v>20</v>
      </c>
      <c r="E59" s="1204"/>
      <c r="F59" s="523" t="str">
        <f>KEY!AY30</f>
        <v>Rs.   000000 - Rs.  400000</v>
      </c>
      <c r="G59" s="468"/>
      <c r="H59" s="468"/>
      <c r="I59" s="469"/>
      <c r="J59" s="1241">
        <f>IF(KEY!BA30=0,"",KEY!BA30)</f>
        <v>400000</v>
      </c>
      <c r="K59" s="1241"/>
      <c r="L59" s="1241"/>
      <c r="M59" s="1241"/>
      <c r="N59" s="1282">
        <f>KEY!AZ30</f>
        <v>0</v>
      </c>
      <c r="O59" s="1283"/>
      <c r="P59" s="1280"/>
      <c r="Q59" s="1280"/>
      <c r="R59" s="1281"/>
      <c r="S59" s="831">
        <f t="shared" ref="S59:S65" si="0">IFERROR(ROUND(J59*N59,0),0)</f>
        <v>0</v>
      </c>
      <c r="T59" s="825"/>
      <c r="U59" s="37"/>
      <c r="V59" s="820"/>
      <c r="W59" s="820"/>
      <c r="X59" s="820"/>
      <c r="Y59" s="820"/>
      <c r="Z59" s="820"/>
      <c r="AA59" s="820"/>
      <c r="AB59" s="820"/>
    </row>
    <row r="60" spans="2:28" ht="14.1" customHeight="1" x14ac:dyDescent="0.25">
      <c r="B60" s="60"/>
      <c r="C60" s="1286"/>
      <c r="D60" s="1284" t="s">
        <v>23</v>
      </c>
      <c r="E60" s="1204"/>
      <c r="F60" s="523" t="str">
        <f>KEY!AY31</f>
        <v>Rs.   400001 - Rs.  800000</v>
      </c>
      <c r="G60" s="468"/>
      <c r="H60" s="468"/>
      <c r="I60" s="469"/>
      <c r="J60" s="1241">
        <f>IF(KEY!BA31=0,"",KEY!BA31)</f>
        <v>400000</v>
      </c>
      <c r="K60" s="1241"/>
      <c r="L60" s="1241"/>
      <c r="M60" s="1241"/>
      <c r="N60" s="1282">
        <f>KEY!AZ31</f>
        <v>0.05</v>
      </c>
      <c r="O60" s="1283"/>
      <c r="P60" s="1280"/>
      <c r="Q60" s="1280"/>
      <c r="R60" s="1281"/>
      <c r="S60" s="831">
        <f t="shared" si="0"/>
        <v>20000</v>
      </c>
      <c r="T60" s="825"/>
      <c r="U60" s="37"/>
      <c r="V60" s="820"/>
      <c r="W60" s="820"/>
      <c r="X60" s="820"/>
      <c r="Y60" s="820"/>
      <c r="Z60" s="820"/>
      <c r="AA60" s="820"/>
      <c r="AB60" s="820"/>
    </row>
    <row r="61" spans="2:28" ht="14.1" customHeight="1" thickBot="1" x14ac:dyDescent="0.3">
      <c r="B61" s="60"/>
      <c r="C61" s="1286"/>
      <c r="D61" s="1284" t="s">
        <v>27</v>
      </c>
      <c r="E61" s="1204"/>
      <c r="F61" s="523" t="str">
        <f>KEY!AY32</f>
        <v>Rs.   800001 - Rs. 1200000</v>
      </c>
      <c r="G61" s="468"/>
      <c r="H61" s="468"/>
      <c r="I61" s="469"/>
      <c r="J61" s="1241">
        <f>IF(KEY!BA32=0,"",KEY!BA32)</f>
        <v>103410</v>
      </c>
      <c r="K61" s="1241"/>
      <c r="L61" s="1241"/>
      <c r="M61" s="1241"/>
      <c r="N61" s="1282">
        <f>KEY!AZ32</f>
        <v>0.1</v>
      </c>
      <c r="O61" s="1283"/>
      <c r="P61" s="1280"/>
      <c r="Q61" s="1280"/>
      <c r="R61" s="1281"/>
      <c r="S61" s="831">
        <f t="shared" si="0"/>
        <v>10341</v>
      </c>
      <c r="T61" s="825"/>
      <c r="U61" s="37"/>
      <c r="V61" s="820"/>
      <c r="W61" s="773"/>
      <c r="X61" s="773"/>
      <c r="Y61" s="820"/>
      <c r="Z61" s="820"/>
      <c r="AA61" s="820"/>
      <c r="AB61" s="820"/>
    </row>
    <row r="62" spans="2:28" ht="14.1" customHeight="1" thickTop="1" x14ac:dyDescent="0.25">
      <c r="B62" s="60"/>
      <c r="C62" s="1286"/>
      <c r="D62" s="1284" t="s">
        <v>30</v>
      </c>
      <c r="E62" s="1204"/>
      <c r="F62" s="523" t="str">
        <f>KEY!AY33</f>
        <v>Rs. 1200001 - Rs.1600000</v>
      </c>
      <c r="G62" s="468"/>
      <c r="H62" s="468"/>
      <c r="I62" s="469"/>
      <c r="J62" s="1241" t="str">
        <f>IF(KEY!BA33=0,"",KEY!BA33)</f>
        <v/>
      </c>
      <c r="K62" s="1241"/>
      <c r="L62" s="1241"/>
      <c r="M62" s="1241"/>
      <c r="N62" s="1282">
        <f>KEY!AZ33</f>
        <v>0.15</v>
      </c>
      <c r="O62" s="1283"/>
      <c r="P62" s="1280"/>
      <c r="Q62" s="1280"/>
      <c r="R62" s="1281"/>
      <c r="S62" s="831">
        <f t="shared" si="0"/>
        <v>0</v>
      </c>
      <c r="T62" s="825"/>
      <c r="U62" s="37"/>
      <c r="V62" s="1291" t="s">
        <v>276</v>
      </c>
      <c r="W62" s="1292"/>
      <c r="X62" s="1293"/>
      <c r="Y62" s="820"/>
      <c r="Z62" s="820"/>
      <c r="AA62" s="820"/>
      <c r="AB62" s="820"/>
    </row>
    <row r="63" spans="2:28" ht="14.1" customHeight="1" x14ac:dyDescent="0.25">
      <c r="B63" s="60"/>
      <c r="C63" s="1286"/>
      <c r="D63" s="1284" t="s">
        <v>34</v>
      </c>
      <c r="E63" s="1204"/>
      <c r="F63" s="523" t="str">
        <f>KEY!AY34</f>
        <v>Rs.1600001 - Rs.2000000</v>
      </c>
      <c r="G63" s="468"/>
      <c r="H63" s="468"/>
      <c r="I63" s="469"/>
      <c r="J63" s="1241" t="str">
        <f>IF(KEY!BA34=0,"",KEY!BA34)</f>
        <v/>
      </c>
      <c r="K63" s="1241"/>
      <c r="L63" s="1241"/>
      <c r="M63" s="1241"/>
      <c r="N63" s="1282">
        <f>KEY!AZ34</f>
        <v>0.2</v>
      </c>
      <c r="O63" s="1283"/>
      <c r="P63" s="1280"/>
      <c r="Q63" s="1280"/>
      <c r="R63" s="1281"/>
      <c r="S63" s="831">
        <f t="shared" si="0"/>
        <v>0</v>
      </c>
      <c r="T63" s="825"/>
      <c r="U63" s="37"/>
      <c r="V63" s="1294"/>
      <c r="W63" s="1295"/>
      <c r="X63" s="1296"/>
      <c r="Y63" s="820"/>
      <c r="Z63" s="820"/>
      <c r="AA63" s="820"/>
      <c r="AB63" s="820"/>
    </row>
    <row r="64" spans="2:28" ht="14.1" customHeight="1" x14ac:dyDescent="0.25">
      <c r="B64" s="60"/>
      <c r="C64" s="1286"/>
      <c r="D64" s="1284" t="s">
        <v>38</v>
      </c>
      <c r="E64" s="1204"/>
      <c r="F64" s="523" t="str">
        <f>KEY!AY35</f>
        <v>Rs.2000001 - Rs.2400000</v>
      </c>
      <c r="G64" s="468"/>
      <c r="H64" s="468"/>
      <c r="I64" s="469"/>
      <c r="J64" s="1241" t="str">
        <f>IF(KEY!BA35=0,"",KEY!BA35)</f>
        <v/>
      </c>
      <c r="K64" s="1241"/>
      <c r="L64" s="1241"/>
      <c r="M64" s="1241"/>
      <c r="N64" s="1282">
        <f>KEY!AZ35</f>
        <v>0.25</v>
      </c>
      <c r="O64" s="1283"/>
      <c r="P64" s="1280"/>
      <c r="Q64" s="1280"/>
      <c r="R64" s="1281"/>
      <c r="S64" s="831">
        <f t="shared" si="0"/>
        <v>0</v>
      </c>
      <c r="T64" s="825"/>
      <c r="U64" s="37"/>
      <c r="V64" s="560" t="s">
        <v>192</v>
      </c>
      <c r="W64" s="473" t="s">
        <v>13</v>
      </c>
      <c r="X64" s="561">
        <f>T57</f>
        <v>903410</v>
      </c>
      <c r="Y64" s="820"/>
      <c r="Z64" s="820"/>
      <c r="AA64" s="820"/>
      <c r="AB64" s="820"/>
    </row>
    <row r="65" spans="2:28" ht="14.1" customHeight="1" thickBot="1" x14ac:dyDescent="0.3">
      <c r="B65" s="60"/>
      <c r="C65" s="1287"/>
      <c r="D65" s="1284" t="s">
        <v>42</v>
      </c>
      <c r="E65" s="1204"/>
      <c r="F65" s="524" t="str">
        <f>KEY!AY36</f>
        <v>Rs.2400000 &amp;    ABOVE</v>
      </c>
      <c r="G65" s="525"/>
      <c r="H65" s="525"/>
      <c r="I65" s="526"/>
      <c r="J65" s="1288" t="str">
        <f>IF(KEY!BA36=0,"",KEY!BA36)</f>
        <v/>
      </c>
      <c r="K65" s="1288"/>
      <c r="L65" s="1288"/>
      <c r="M65" s="1288"/>
      <c r="N65" s="1289">
        <f>KEY!AZ36</f>
        <v>0.3</v>
      </c>
      <c r="O65" s="1290"/>
      <c r="P65" s="840"/>
      <c r="Q65" s="840"/>
      <c r="R65" s="841"/>
      <c r="S65" s="831">
        <f t="shared" si="0"/>
        <v>0</v>
      </c>
      <c r="T65" s="825"/>
      <c r="U65" s="37"/>
      <c r="V65" s="560" t="s">
        <v>195</v>
      </c>
      <c r="W65" s="559" t="s">
        <v>277</v>
      </c>
      <c r="X65" s="825">
        <f>KEY!BH27</f>
        <v>30341</v>
      </c>
      <c r="Y65" s="820"/>
      <c r="Z65" s="820"/>
      <c r="AA65" s="820"/>
      <c r="AB65" s="820"/>
    </row>
    <row r="66" spans="2:28" ht="14.1" customHeight="1" thickTop="1" x14ac:dyDescent="0.25">
      <c r="B66" s="61"/>
      <c r="C66" s="397" t="s">
        <v>278</v>
      </c>
      <c r="D66" s="451" t="str">
        <f>C59&amp;" IS APPLIED ("&amp;O3&amp;")"</f>
        <v>NEW REGIME IS APPLIED (General Citizen)</v>
      </c>
      <c r="E66" s="451"/>
      <c r="F66" s="460"/>
      <c r="G66" s="448"/>
      <c r="H66" s="448"/>
      <c r="I66" s="448"/>
      <c r="J66" s="1249" t="s">
        <v>279</v>
      </c>
      <c r="K66" s="1249"/>
      <c r="L66" s="1249"/>
      <c r="M66" s="1249"/>
      <c r="N66" s="1249"/>
      <c r="O66" s="1249"/>
      <c r="P66" s="1204"/>
      <c r="Q66" s="1204"/>
      <c r="R66" s="1205"/>
      <c r="S66" s="831">
        <f>SUM(S59:S65)</f>
        <v>30341</v>
      </c>
      <c r="T66" s="825">
        <f>S66</f>
        <v>30341</v>
      </c>
      <c r="U66" s="37"/>
      <c r="V66" s="560" t="s">
        <v>197</v>
      </c>
      <c r="W66" s="563" t="s">
        <v>280</v>
      </c>
      <c r="X66" s="564">
        <f>IF(X64&lt;1200000,0,X64-1200000)</f>
        <v>0</v>
      </c>
      <c r="Y66" s="820"/>
      <c r="Z66" s="843"/>
      <c r="AA66" s="820"/>
      <c r="AB66" s="820"/>
    </row>
    <row r="67" spans="2:28" ht="14.1" customHeight="1" thickBot="1" x14ac:dyDescent="0.3">
      <c r="B67" s="60">
        <v>12</v>
      </c>
      <c r="C67" s="567" t="str">
        <f>IF(T67&gt;0,"LESS : Tax Rebate u/s 87(A) is Applied","LESS : Tax Rebate u/s 87(A) is Not Applied")</f>
        <v>LESS : Tax Rebate u/s 87(A) is Applied</v>
      </c>
      <c r="D67" s="451"/>
      <c r="E67" s="451"/>
      <c r="F67" s="451"/>
      <c r="G67" s="428"/>
      <c r="H67" s="428"/>
      <c r="I67" s="428"/>
      <c r="J67" s="1247" t="str">
        <f>IF(AND('ANNEXURE I'!$B$2="NEW",T67&gt;0,T57&gt;=1200000),T57&amp;" - 1200000 - "&amp;X65&amp;" = "&amp;T67,"")</f>
        <v/>
      </c>
      <c r="K67" s="1247"/>
      <c r="L67" s="1247"/>
      <c r="M67" s="1247"/>
      <c r="N67" s="1247"/>
      <c r="O67" s="1247"/>
      <c r="P67" s="1247"/>
      <c r="Q67" s="1247"/>
      <c r="R67" s="1248"/>
      <c r="S67" s="844"/>
      <c r="T67" s="835">
        <f>KEY!BK31</f>
        <v>30341</v>
      </c>
      <c r="U67" s="37"/>
      <c r="V67" s="562" t="s">
        <v>250</v>
      </c>
      <c r="W67" s="565" t="s">
        <v>281</v>
      </c>
      <c r="X67" s="566">
        <f>MAX(0,X65-X66)</f>
        <v>30341</v>
      </c>
      <c r="Y67" s="820"/>
      <c r="Z67" s="820"/>
      <c r="AA67" s="820"/>
      <c r="AB67" s="820"/>
    </row>
    <row r="68" spans="2:28" ht="12.95" customHeight="1" thickTop="1" x14ac:dyDescent="0.25">
      <c r="B68" s="60">
        <v>13</v>
      </c>
      <c r="C68" s="45" t="s">
        <v>282</v>
      </c>
      <c r="D68" s="35"/>
      <c r="E68" s="35"/>
      <c r="F68" s="35"/>
      <c r="G68" s="48"/>
      <c r="H68" s="48"/>
      <c r="I68" s="48"/>
      <c r="J68" s="35"/>
      <c r="K68" s="35"/>
      <c r="L68" s="35"/>
      <c r="M68" s="35"/>
      <c r="N68" s="35"/>
      <c r="O68" s="424"/>
      <c r="P68" s="424"/>
      <c r="Q68" s="424"/>
      <c r="R68" s="424"/>
      <c r="S68" s="831"/>
      <c r="T68" s="825">
        <f>T66-T67</f>
        <v>0</v>
      </c>
      <c r="U68" s="37"/>
      <c r="V68" s="820"/>
      <c r="W68" s="820"/>
      <c r="X68" s="820"/>
      <c r="Y68" s="820"/>
      <c r="Z68" s="820"/>
      <c r="AA68" s="820"/>
      <c r="AB68" s="820"/>
    </row>
    <row r="69" spans="2:28" ht="12.95" customHeight="1" thickBot="1" x14ac:dyDescent="0.3">
      <c r="B69" s="60">
        <v>14</v>
      </c>
      <c r="C69" s="372" t="s">
        <v>283</v>
      </c>
      <c r="D69" s="48"/>
      <c r="E69" s="48"/>
      <c r="F69" s="373"/>
      <c r="G69" s="48"/>
      <c r="H69" s="48"/>
      <c r="I69" s="48"/>
      <c r="J69" s="35" t="str">
        <f>IF(T69&gt;0,"Surcharge on income tax for &gt;50 Lakhs","")</f>
        <v/>
      </c>
      <c r="K69" s="35"/>
      <c r="L69" s="35"/>
      <c r="M69" s="35"/>
      <c r="N69" s="35"/>
      <c r="O69" s="424"/>
      <c r="P69" s="424"/>
      <c r="Q69" s="424"/>
      <c r="R69" s="430"/>
      <c r="S69" s="831"/>
      <c r="T69" s="825">
        <f>KEY!BK34</f>
        <v>0</v>
      </c>
      <c r="U69" s="37"/>
      <c r="V69" s="820"/>
      <c r="W69" s="820"/>
      <c r="X69" s="820"/>
      <c r="Y69" s="820"/>
      <c r="Z69" s="820"/>
      <c r="AA69" s="820"/>
      <c r="AB69" s="820"/>
    </row>
    <row r="70" spans="2:28" ht="12.95" customHeight="1" thickTop="1" x14ac:dyDescent="0.25">
      <c r="B70" s="61">
        <v>15</v>
      </c>
      <c r="C70" s="45" t="s">
        <v>284</v>
      </c>
      <c r="D70" s="35"/>
      <c r="E70" s="35"/>
      <c r="F70" s="35"/>
      <c r="G70" s="48"/>
      <c r="H70" s="48"/>
      <c r="I70" s="48"/>
      <c r="K70" s="375"/>
      <c r="L70" s="375"/>
      <c r="M70" s="375"/>
      <c r="N70" s="820"/>
      <c r="O70" s="1239" t="str">
        <f>IF(T68&gt;0,T68&amp;" x "&amp;" 4% = ","")</f>
        <v/>
      </c>
      <c r="P70" s="1239"/>
      <c r="Q70" s="1239"/>
      <c r="R70" s="1240"/>
      <c r="S70" s="831"/>
      <c r="T70" s="825">
        <f>KEY!BK35</f>
        <v>0</v>
      </c>
      <c r="U70" s="37"/>
      <c r="V70" s="1225" t="str">
        <f>IF(T71&lt;0,"",CHOOSE(MID(TEXT(T71,"000000000.00"),1,1)+1,,,"Twenty ","Thirty ","Forty ","Fifty ","Sixty ","Seventy ","Eighty ","Ninety ")&amp;IF(--MID(TEXT(T71,"000000000.00"),1,1)&lt;&gt;1,CHOOSE(MID(TEXT(T71,"000000000.00"),2,1)+1,,"One ","Two ","Three ","Four ","Five ","Six ","Seven ","Eight ","Nine "),CHOOSE(MID(TEXT(T71,"000000000.00"),2,1)+1,"Ten ","Eleven ","Twelve ","Thirteen ","Fourteen ","Fifteen ","Sixteen ","Seventeen ","Eighteen ","Nineteen "))&amp;IF((--MID(TEXT(T71,"000000000.00"),1,1)+MID(TEXT(T71,"000000000.00"),1,1)+MID(TEXT(T71,"000000000.00"),2,1))=0,,"crore ")&amp;CHOOSE(MID(TEXT(T71,"000000000.00"),3,1)+1,,,"Twenty ","Thirty ","Forty ","Fifty ","Sixty ","Seventy ","Eighty ","Ninety ")&amp;IF(--MID(TEXT(T71,"000000000.00"),3,1)&lt;&gt;1,CHOOSE(MID(TEXT(T71,"000000000.00"),4,1)+1,,"One ","Two ","Three ","Four ","Five ","Six ","Seven ","Eight ","Nine "),CHOOSE(MID(TEXT(T71,"000000000.00"),4,1)+1,"Ten ","Eleven ","Twelve ","Thirteen ","Fourteen ","Fifteen ","Sixteen ","Seventeen ","Eighteen ","Nineteen "))&amp;IF((--MID(TEXT(T71,"000000000.00"),3,1)+MID(TEXT(T71,"000000000.00"),3,1)+MID(TEXT(T71,"000000000.00"),4,1))=0,"","lakh ")&amp;CHOOSE(MID(TEXT(T71,"000000000.00"),5,1)+1,,,"Twenty ","Thirty ","Forty ","Fifty ","Sixty ","Seventy ","Eighty ","Ninety ")&amp;IF(--MID(TEXT(T71,"000000000.00"),5,1)&lt;&gt;1,CHOOSE(MID(TEXT(T71,"000000000.00"),6,1)+1,,"One ","Two ","Three ","Four ","Five ","Six ","Seven ","Eight ","Nine "),CHOOSE(MID(TEXT(T71,"000000000.00"),6,1)+1,"Ten ","Eleven ","Twelve ","Thirteen ","Fourteen ","Fifteen ","Sixteen ","Seventeen ","Eighteen ","Nineteen "))&amp;IF((--MID(TEXT(T71,"000000000.00"),5,1)+MID(TEXT(T71,"000000000.00"),5,1)+MID(TEXT(T71,"000000000.00"),6,1))=0,"","Thousand ")&amp;CHOOSE(MID(TEXT(T71,"000000000.00"),7,1)+1,,"One ","Two ","Three ","Four ","Five ","Six ","Seven ","Eight ","Nine ")&amp;IF(--MID(TEXT(T71,"000000000.00"),7,1)=0,,IF(AND(--MID(TEXT(T71,"000000000.00"),8,1)=0,--MID(TEXT(T71,"000000000.00"),9,1)=0),"Hundred ","Hundred and "))&amp;CHOOSE(MID(TEXT(T71,"000000000.00"),8,1)+1,,,"Twenty ","Thirty ","Forty ","Fifty ","Sixty ","Seventy ","Eighty ","Ninety ")&amp;IF(--MID(TEXT(T71,"000000000.00"),8,1)&lt;&gt;1,CHOOSE(MID(TEXT(T71,"000000000.00"),9,1)+1,,"One ","Two ","Three ","Four ","Five ","Six ","Seven ","Eight ","Nine "),CHOOSE(MID(TEXT(T71,"000000000.00"),9,1)+1,"Ten ","Eleven ","Twelve ","Thirteen ","Fourteen ","Fifteen ","Sixteen ","Seventeen ","Eighteen ","Nineteen "))&amp;IF(T71&lt;0,"",IF(T71=0," Zero Rupees",IF(AND(T71&gt;0,T71&lt;1),"",IF(AND(T71&gt;=1,T71&lt;2),"Rupee","Rupees")))))</f>
        <v xml:space="preserve"> Zero Rupees</v>
      </c>
      <c r="W70" s="1226"/>
      <c r="X70" s="1227"/>
      <c r="Y70" s="820"/>
      <c r="Z70" s="820"/>
      <c r="AA70" s="820"/>
      <c r="AB70" s="820"/>
    </row>
    <row r="71" spans="2:28" ht="14.1" customHeight="1" x14ac:dyDescent="0.25">
      <c r="B71" s="60">
        <v>16</v>
      </c>
      <c r="C71" s="464" t="s">
        <v>285</v>
      </c>
      <c r="D71" s="461"/>
      <c r="E71" s="461"/>
      <c r="F71" s="461"/>
      <c r="G71" s="427"/>
      <c r="H71" s="427"/>
      <c r="I71" s="427"/>
      <c r="J71" s="427"/>
      <c r="K71" s="461"/>
      <c r="L71" s="461"/>
      <c r="M71" s="461"/>
      <c r="N71" s="461"/>
      <c r="O71" s="1237" t="str">
        <f>IF(T68=0,"",IF(T69=0,T68&amp;" + "&amp;T70&amp;" = ",T68&amp;" + "&amp;T69&amp;" + "&amp;T70&amp;" = "))</f>
        <v/>
      </c>
      <c r="P71" s="1237"/>
      <c r="Q71" s="1237"/>
      <c r="R71" s="1238"/>
      <c r="S71" s="845"/>
      <c r="T71" s="477">
        <f>SUM(T68,T69,T70)</f>
        <v>0</v>
      </c>
      <c r="U71" s="820"/>
      <c r="V71" s="1228"/>
      <c r="W71" s="1229"/>
      <c r="X71" s="1230"/>
      <c r="Y71" s="820"/>
      <c r="Z71" s="820"/>
      <c r="AA71" s="820"/>
      <c r="AB71" s="820"/>
    </row>
    <row r="72" spans="2:28" ht="14.1" customHeight="1" x14ac:dyDescent="0.25">
      <c r="B72" s="60">
        <v>17</v>
      </c>
      <c r="C72" s="567" t="s">
        <v>286</v>
      </c>
      <c r="D72" s="451"/>
      <c r="E72" s="451"/>
      <c r="F72" s="451"/>
      <c r="G72" s="428"/>
      <c r="H72" s="428"/>
      <c r="I72" s="428"/>
      <c r="J72" s="1242" t="str">
        <f>IF(S72&gt;0,"TAX RELIEF IS APPLIED",  "TAX RELIEF IS NOT APPLIED")</f>
        <v>TAX RELIEF IS NOT APPLIED</v>
      </c>
      <c r="K72" s="1242"/>
      <c r="L72" s="1242"/>
      <c r="M72" s="1242"/>
      <c r="N72" s="1242"/>
      <c r="O72" s="1242"/>
      <c r="P72" s="1242"/>
      <c r="Q72" s="1242"/>
      <c r="R72" s="1243"/>
      <c r="S72" s="838"/>
      <c r="T72" s="825">
        <f>S72</f>
        <v>0</v>
      </c>
      <c r="U72" s="820"/>
      <c r="V72" s="1228"/>
      <c r="W72" s="1229"/>
      <c r="X72" s="1230"/>
      <c r="Y72" s="820"/>
      <c r="Z72" s="820"/>
      <c r="AA72" s="820"/>
      <c r="AB72" s="327"/>
    </row>
    <row r="73" spans="2:28" ht="14.1" customHeight="1" x14ac:dyDescent="0.25">
      <c r="B73" s="60">
        <v>18</v>
      </c>
      <c r="C73" s="567" t="s">
        <v>287</v>
      </c>
      <c r="D73" s="451"/>
      <c r="E73" s="451"/>
      <c r="F73" s="451"/>
      <c r="G73" s="428"/>
      <c r="H73" s="428"/>
      <c r="I73" s="428"/>
      <c r="J73" s="1244" t="s">
        <v>288</v>
      </c>
      <c r="K73" s="1245"/>
      <c r="L73" s="1245"/>
      <c r="M73" s="1245"/>
      <c r="N73" s="1245"/>
      <c r="O73" s="1245"/>
      <c r="P73" s="1245"/>
      <c r="Q73" s="1245"/>
      <c r="R73" s="1246"/>
      <c r="S73" s="478">
        <f>SUM(DATA!H3:H14)</f>
        <v>0</v>
      </c>
      <c r="T73" s="475">
        <f>SUM(DATA!H3:H14)</f>
        <v>0</v>
      </c>
      <c r="U73" s="820"/>
      <c r="V73" s="1228"/>
      <c r="W73" s="1229"/>
      <c r="X73" s="1230"/>
      <c r="Y73" s="820"/>
      <c r="Z73" s="820"/>
      <c r="AA73" s="820"/>
      <c r="AB73" s="820"/>
    </row>
    <row r="74" spans="2:28" ht="14.1" customHeight="1" thickBot="1" x14ac:dyDescent="0.3">
      <c r="B74" s="60">
        <v>19</v>
      </c>
      <c r="C74" s="465" t="s">
        <v>289</v>
      </c>
      <c r="D74" s="465"/>
      <c r="E74" s="465"/>
      <c r="F74" s="465"/>
      <c r="G74" s="435"/>
      <c r="H74" s="435"/>
      <c r="I74" s="435"/>
      <c r="J74" s="47"/>
      <c r="K74" s="47"/>
      <c r="L74" s="47"/>
      <c r="M74" s="47"/>
      <c r="N74" s="423"/>
      <c r="O74" s="423"/>
      <c r="P74" s="423"/>
      <c r="Q74" s="423"/>
      <c r="R74" s="423"/>
      <c r="S74" s="422" t="str">
        <f>IF(T74=0,"ZERO TAX →",IF(T74&lt;0,"REFUND →",""))</f>
        <v>ZERO TAX →</v>
      </c>
      <c r="T74" s="477">
        <f>T71-T72-T73</f>
        <v>0</v>
      </c>
      <c r="U74" s="820"/>
      <c r="V74" s="1231"/>
      <c r="W74" s="1232"/>
      <c r="X74" s="1233"/>
      <c r="Y74" s="820"/>
      <c r="Z74" s="820"/>
      <c r="AA74" s="820"/>
      <c r="AB74" s="820"/>
    </row>
    <row r="75" spans="2:28" ht="15.95" hidden="1" customHeight="1" thickTop="1" x14ac:dyDescent="0.25">
      <c r="B75" s="1252" t="str">
        <f>IF(T11=0,"",IF(DATA!E17=0,"",IF(DATA!E17="","",CONCATENATE("● This is certify that I have paid an amount of Rs. ",X3," towards house rent for the F.Y. 2024-25. "," (RENT = Rs. ",DATA!E17," x ",DATA!E18," Months) ●"))))</f>
        <v/>
      </c>
      <c r="C75" s="1253"/>
      <c r="D75" s="1253"/>
      <c r="E75" s="1253"/>
      <c r="F75" s="1253"/>
      <c r="G75" s="1253"/>
      <c r="H75" s="1253"/>
      <c r="I75" s="1253"/>
      <c r="J75" s="1253"/>
      <c r="K75" s="1253"/>
      <c r="L75" s="1253"/>
      <c r="M75" s="1253"/>
      <c r="N75" s="1253"/>
      <c r="O75" s="1253"/>
      <c r="P75" s="1253"/>
      <c r="Q75" s="1253"/>
      <c r="R75" s="1253"/>
      <c r="S75" s="1253"/>
      <c r="T75" s="1254"/>
      <c r="U75" s="820"/>
      <c r="V75" s="328"/>
      <c r="W75" s="328"/>
      <c r="X75" s="328"/>
      <c r="Y75" s="820"/>
      <c r="Z75" s="820"/>
      <c r="AA75" s="820"/>
      <c r="AB75" s="820"/>
    </row>
    <row r="76" spans="2:28" ht="39.950000000000003" customHeight="1" thickTop="1" thickBot="1" x14ac:dyDescent="0.3">
      <c r="B76" s="1255" t="s">
        <v>177</v>
      </c>
      <c r="C76" s="1256"/>
      <c r="D76" s="1256"/>
      <c r="E76" s="1256"/>
      <c r="F76" s="1256"/>
      <c r="G76" s="1256"/>
      <c r="H76" s="1256"/>
      <c r="I76" s="1256"/>
      <c r="J76" s="1256"/>
      <c r="K76" s="437"/>
      <c r="L76" s="437"/>
      <c r="M76" s="437"/>
      <c r="N76" s="1256" t="s">
        <v>178</v>
      </c>
      <c r="O76" s="1256"/>
      <c r="P76" s="1256"/>
      <c r="Q76" s="1256"/>
      <c r="R76" s="1256"/>
      <c r="S76" s="1256"/>
      <c r="T76" s="1257"/>
      <c r="U76" s="820"/>
      <c r="V76" s="328"/>
      <c r="W76" s="328"/>
      <c r="X76" s="328"/>
      <c r="Y76" s="820"/>
      <c r="Z76" s="820"/>
      <c r="AA76" s="820"/>
      <c r="AB76" s="820"/>
    </row>
    <row r="77" spans="2:28" s="39" customFormat="1" ht="12" customHeight="1" thickTop="1" x14ac:dyDescent="0.2">
      <c r="B77" s="1251" t="s">
        <v>179</v>
      </c>
      <c r="C77" s="1251"/>
      <c r="D77" s="1251"/>
      <c r="E77" s="1251"/>
      <c r="F77" s="1251"/>
      <c r="G77" s="1251"/>
      <c r="H77" s="1251"/>
      <c r="I77" s="1251"/>
      <c r="J77" s="1251"/>
      <c r="K77" s="1251"/>
      <c r="L77" s="1251"/>
      <c r="M77" s="1251"/>
      <c r="N77" s="1251"/>
      <c r="O77" s="1251"/>
      <c r="P77" s="1251"/>
      <c r="Q77" s="1251"/>
      <c r="R77" s="1251"/>
      <c r="S77" s="1251"/>
      <c r="T77" s="1251"/>
    </row>
  </sheetData>
  <sheetProtection algorithmName="SHA-512" hashValue="4U6pz9gotkKRJxAZ8tytkIMJ/JMk6MhRYJHngB2EAqEBJNFqHR8+R5B716tuArxHazSldMKcGnkwjRJpYkmZqQ==" saltValue="0MQ2mC87evOKCJdeUPp21Q==" spinCount="100000" sheet="1" objects="1" scenarios="1" selectLockedCells="1" selectUnlockedCells="1"/>
  <protectedRanges>
    <protectedRange sqref="T68:T69" name="Range5_1"/>
  </protectedRanges>
  <mergeCells count="95">
    <mergeCell ref="D65:E65"/>
    <mergeCell ref="C59:C65"/>
    <mergeCell ref="J65:M65"/>
    <mergeCell ref="N65:O65"/>
    <mergeCell ref="V62:X63"/>
    <mergeCell ref="D64:E64"/>
    <mergeCell ref="D63:E63"/>
    <mergeCell ref="N61:O61"/>
    <mergeCell ref="N60:O60"/>
    <mergeCell ref="N59:O59"/>
    <mergeCell ref="D62:E62"/>
    <mergeCell ref="D61:E61"/>
    <mergeCell ref="D60:E60"/>
    <mergeCell ref="D59:E59"/>
    <mergeCell ref="F58:I58"/>
    <mergeCell ref="N58:O58"/>
    <mergeCell ref="J58:M58"/>
    <mergeCell ref="P64:R64"/>
    <mergeCell ref="P58:R58"/>
    <mergeCell ref="P59:R59"/>
    <mergeCell ref="P60:R60"/>
    <mergeCell ref="P61:R61"/>
    <mergeCell ref="P62:R62"/>
    <mergeCell ref="P63:R63"/>
    <mergeCell ref="J62:M62"/>
    <mergeCell ref="J61:M61"/>
    <mergeCell ref="J60:M60"/>
    <mergeCell ref="N64:O64"/>
    <mergeCell ref="N63:O63"/>
    <mergeCell ref="N62:O62"/>
    <mergeCell ref="V18:W18"/>
    <mergeCell ref="V17:W17"/>
    <mergeCell ref="J15:R15"/>
    <mergeCell ref="J14:R14"/>
    <mergeCell ref="J17:N17"/>
    <mergeCell ref="V2:X2"/>
    <mergeCell ref="S2:T3"/>
    <mergeCell ref="V6:X6"/>
    <mergeCell ref="V10:W10"/>
    <mergeCell ref="V11:W11"/>
    <mergeCell ref="Z3:AB5"/>
    <mergeCell ref="J56:N56"/>
    <mergeCell ref="B77:T77"/>
    <mergeCell ref="B75:T75"/>
    <mergeCell ref="B76:J76"/>
    <mergeCell ref="N76:T76"/>
    <mergeCell ref="V43:W43"/>
    <mergeCell ref="J41:N41"/>
    <mergeCell ref="V44:W44"/>
    <mergeCell ref="V20:X20"/>
    <mergeCell ref="J27:N27"/>
    <mergeCell ref="J28:N28"/>
    <mergeCell ref="J29:N29"/>
    <mergeCell ref="J30:N30"/>
    <mergeCell ref="V19:W19"/>
    <mergeCell ref="C20:F22"/>
    <mergeCell ref="V70:X74"/>
    <mergeCell ref="J46:N46"/>
    <mergeCell ref="J42:N42"/>
    <mergeCell ref="V45:W45"/>
    <mergeCell ref="V46:W46"/>
    <mergeCell ref="V47:X47"/>
    <mergeCell ref="O71:R71"/>
    <mergeCell ref="O70:R70"/>
    <mergeCell ref="J59:M59"/>
    <mergeCell ref="J72:R72"/>
    <mergeCell ref="J73:R73"/>
    <mergeCell ref="J67:R67"/>
    <mergeCell ref="J66:R66"/>
    <mergeCell ref="J44:N44"/>
    <mergeCell ref="J64:M64"/>
    <mergeCell ref="J63:M63"/>
    <mergeCell ref="K51:Q51"/>
    <mergeCell ref="O20:Q20"/>
    <mergeCell ref="O21:Q21"/>
    <mergeCell ref="J12:N12"/>
    <mergeCell ref="F11:G11"/>
    <mergeCell ref="J26:N26"/>
    <mergeCell ref="C23:F25"/>
    <mergeCell ref="O22:Q22"/>
    <mergeCell ref="O25:Q25"/>
    <mergeCell ref="O23:Q23"/>
    <mergeCell ref="O24:Q24"/>
    <mergeCell ref="D9:E9"/>
    <mergeCell ref="D11:E11"/>
    <mergeCell ref="F9:G9"/>
    <mergeCell ref="B2:E3"/>
    <mergeCell ref="F10:G10"/>
    <mergeCell ref="F2:N2"/>
    <mergeCell ref="F3:N3"/>
    <mergeCell ref="J8:R8"/>
    <mergeCell ref="D10:E10"/>
    <mergeCell ref="F7:R7"/>
    <mergeCell ref="O2:R2"/>
    <mergeCell ref="O3:R3"/>
  </mergeCells>
  <phoneticPr fontId="10" type="noConversion"/>
  <conditionalFormatting sqref="C67">
    <cfRule type="expression" dxfId="36" priority="2">
      <formula>$T$67&gt;0</formula>
    </cfRule>
  </conditionalFormatting>
  <conditionalFormatting sqref="C73">
    <cfRule type="expression" dxfId="35" priority="1">
      <formula>$T$73&gt;0</formula>
    </cfRule>
  </conditionalFormatting>
  <conditionalFormatting sqref="G25:Q25">
    <cfRule type="expression" dxfId="33" priority="9">
      <formula>$O$25&lt;0</formula>
    </cfRule>
  </conditionalFormatting>
  <conditionalFormatting sqref="J19:R19 L20:N20 R20:R24 J21:N24">
    <cfRule type="expression" dxfId="31" priority="25">
      <formula>$X$18=0</formula>
    </cfRule>
  </conditionalFormatting>
  <conditionalFormatting sqref="J67:R67">
    <cfRule type="expression" dxfId="30" priority="6">
      <formula>$S$67=0</formula>
    </cfRule>
  </conditionalFormatting>
  <conditionalFormatting sqref="O20:Q25 C23:F25">
    <cfRule type="expression" dxfId="29" priority="8">
      <formula>$O$25=0</formula>
    </cfRule>
  </conditionalFormatting>
  <conditionalFormatting sqref="S25">
    <cfRule type="cellIs" dxfId="28" priority="12" operator="lessThan">
      <formula>0</formula>
    </cfRule>
  </conditionalFormatting>
  <conditionalFormatting sqref="S74">
    <cfRule type="notContainsBlanks" dxfId="27" priority="30">
      <formula>LEN(TRIM(S74))&gt;0</formula>
    </cfRule>
  </conditionalFormatting>
  <conditionalFormatting sqref="S7:T70 S72:T74">
    <cfRule type="cellIs" dxfId="26" priority="19" operator="equal">
      <formula>0</formula>
    </cfRule>
  </conditionalFormatting>
  <conditionalFormatting sqref="V2:X11">
    <cfRule type="expression" dxfId="25" priority="26">
      <formula>$X$3=0</formula>
    </cfRule>
  </conditionalFormatting>
  <conditionalFormatting sqref="V17:X20">
    <cfRule type="expression" dxfId="24" priority="27">
      <formula>$X$17=0</formula>
    </cfRule>
  </conditionalFormatting>
  <conditionalFormatting sqref="V42:X47">
    <cfRule type="expression" dxfId="23" priority="28">
      <formula>$V$42=0</formula>
    </cfRule>
  </conditionalFormatting>
  <printOptions horizontalCentered="1" verticalCentered="1"/>
  <pageMargins left="7.874015748031496E-2" right="7.874015748031496E-2" top="0.15748031496062992" bottom="0.15748031496062992" header="7.874015748031496E-2" footer="7.874015748031496E-2"/>
  <pageSetup paperSize="9" scale="8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B0672990-F9DD-4519-8C72-F7CE4D79760B}">
            <xm:f>'ANNEXURE I'!$B$2="NEW"</xm:f>
            <x14:dxf>
              <font>
                <strike val="0"/>
                <color theme="1"/>
              </font>
              <fill>
                <patternFill>
                  <bgColor theme="0"/>
                </patternFill>
              </fill>
            </x14:dxf>
          </x14:cfRule>
          <xm:sqref>C28:Q41 C46:Q50 C51:K51 C52:Q52</xm:sqref>
        </x14:conditionalFormatting>
        <x14:conditionalFormatting xmlns:xm="http://schemas.microsoft.com/office/excel/2006/main">
          <x14:cfRule type="expression" priority="15" id="{C186803F-4DC5-4C33-A694-9C6686664399}">
            <xm:f>'ANNEXURE I'!$B$2="NEW"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 style="hair">
                  <color auto="1"/>
                </top>
                <bottom style="hair">
                  <color auto="1"/>
                </bottom>
              </border>
            </x14:dxf>
          </x14:cfRule>
          <xm:sqref>J8 D9:Q11</xm:sqref>
        </x14:conditionalFormatting>
        <x14:conditionalFormatting xmlns:xm="http://schemas.microsoft.com/office/excel/2006/main">
          <x14:cfRule type="expression" priority="3" id="{49BA0101-C04F-4304-B302-506860A7647F}">
            <xm:f>'ANNEXURE I'!$B$2="OLD"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V62:X67</xm:sqref>
        </x14:conditionalFormatting>
        <x14:conditionalFormatting xmlns:xm="http://schemas.microsoft.com/office/excel/2006/main">
          <x14:cfRule type="expression" priority="18" id="{F906DBD5-942E-473D-85BF-7426AB17A0E8}">
            <xm:f>'ANNEXURE I'!$B$2="NEW"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V2:AB15 V22:AB58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B1:L72"/>
  <sheetViews>
    <sheetView showGridLines="0" showRowColHeaders="0" showZeros="0" zoomScaleSheetLayoutView="100" workbookViewId="0">
      <pane xSplit="1" ySplit="11" topLeftCell="B12" activePane="bottomRight" state="frozen"/>
      <selection pane="bottomLeft" activeCell="H68" sqref="H68:I68"/>
      <selection pane="topRight" activeCell="H68" sqref="H68:I68"/>
      <selection pane="bottomRight" activeCell="H68" sqref="H68:I68"/>
    </sheetView>
  </sheetViews>
  <sheetFormatPr defaultColWidth="9.14453125" defaultRowHeight="15" x14ac:dyDescent="0.2"/>
  <cols>
    <col min="1" max="1" width="0.8046875" style="169" customWidth="1" collapsed="1"/>
    <col min="2" max="2" width="3.765625" style="170" customWidth="1" collapsed="1"/>
    <col min="3" max="4" width="7.26171875" style="169" customWidth="1" collapsed="1"/>
    <col min="5" max="5" width="20.71484375" style="169" customWidth="1" collapsed="1"/>
    <col min="6" max="6" width="9.68359375" style="169" customWidth="1" collapsed="1"/>
    <col min="7" max="7" width="8.7421875" style="169" customWidth="1" collapsed="1"/>
    <col min="8" max="8" width="14.9296875" style="169" customWidth="1" collapsed="1"/>
    <col min="9" max="9" width="14.2578125" style="169" customWidth="1" collapsed="1"/>
    <col min="10" max="10" width="14.9296875" style="169" customWidth="1" collapsed="1"/>
    <col min="11" max="11" width="11.97265625" style="169" bestFit="1" customWidth="1" collapsed="1"/>
    <col min="12" max="16384" width="9.14453125" style="169" collapsed="1"/>
  </cols>
  <sheetData>
    <row r="1" spans="2:12" ht="4.5" customHeight="1" thickBot="1" x14ac:dyDescent="0.25"/>
    <row r="2" spans="2:12" ht="20.100000000000001" customHeight="1" thickTop="1" thickBot="1" x14ac:dyDescent="0.25">
      <c r="B2" s="255"/>
      <c r="C2" s="256"/>
      <c r="D2" s="256"/>
      <c r="E2" s="1372" t="str">
        <f>"FORM No. 16"&amp;" ("&amp;'ANNEXURE I'!B2&amp;" REGIME)"</f>
        <v>FORM No. 16 (NEW REGIME)</v>
      </c>
      <c r="F2" s="1372"/>
      <c r="G2" s="1372"/>
      <c r="H2" s="1372"/>
      <c r="I2" s="1373" t="s">
        <v>290</v>
      </c>
      <c r="J2" s="1374"/>
      <c r="K2" s="207"/>
      <c r="L2" s="207"/>
    </row>
    <row r="3" spans="2:12" ht="14.1" customHeight="1" x14ac:dyDescent="0.2">
      <c r="B3" s="1375"/>
      <c r="C3" s="1376"/>
      <c r="D3" s="1376"/>
      <c r="E3" s="1377" t="s">
        <v>291</v>
      </c>
      <c r="F3" s="1377"/>
      <c r="G3" s="1377"/>
      <c r="H3" s="1377"/>
      <c r="I3" s="1368" t="str">
        <f>"("&amp;KEY!BS18&amp;")"</f>
        <v>(General Citizen)</v>
      </c>
      <c r="J3" s="1369"/>
      <c r="K3" s="207"/>
      <c r="L3" s="207"/>
    </row>
    <row r="4" spans="2:12" ht="14.1" customHeight="1" thickBot="1" x14ac:dyDescent="0.25">
      <c r="B4" s="1366" t="s">
        <v>292</v>
      </c>
      <c r="C4" s="1367"/>
      <c r="D4" s="1367"/>
      <c r="E4" s="1367"/>
      <c r="F4" s="1367"/>
      <c r="G4" s="1367"/>
      <c r="H4" s="1367"/>
      <c r="I4" s="1370"/>
      <c r="J4" s="1371"/>
    </row>
    <row r="5" spans="2:12" ht="14.1" customHeight="1" x14ac:dyDescent="0.2">
      <c r="B5" s="1378" t="s">
        <v>293</v>
      </c>
      <c r="C5" s="1379"/>
      <c r="D5" s="1379"/>
      <c r="E5" s="1379"/>
      <c r="F5" s="1379"/>
      <c r="G5" s="1379" t="s">
        <v>294</v>
      </c>
      <c r="H5" s="1379"/>
      <c r="I5" s="1379"/>
      <c r="J5" s="1380"/>
      <c r="K5" s="206"/>
      <c r="L5" s="206"/>
    </row>
    <row r="6" spans="2:12" ht="14.1" customHeight="1" x14ac:dyDescent="0.2">
      <c r="B6" s="1353" t="str">
        <f>DATA!G29&amp;" "&amp;UPPER(DATA!H29)</f>
        <v>Sri. G.SOMA SEKHAR</v>
      </c>
      <c r="C6" s="1354"/>
      <c r="D6" s="1354"/>
      <c r="E6" s="1354"/>
      <c r="F6" s="1354"/>
      <c r="G6" s="1355" t="str">
        <f>DATA!G17&amp;" "&amp;UPPER(DATA!H17)</f>
        <v>Sri.   PERUMALLA RAMANJANEYULU</v>
      </c>
      <c r="H6" s="1355"/>
      <c r="I6" s="1355"/>
      <c r="J6" s="1356"/>
      <c r="K6" s="206"/>
      <c r="L6" s="206"/>
    </row>
    <row r="7" spans="2:12" ht="14.1" customHeight="1" x14ac:dyDescent="0.2">
      <c r="B7" s="1353" t="str">
        <f>UPPER(DATA!H30)</f>
        <v>MANDAL EDUCATIONAL OFFICER</v>
      </c>
      <c r="C7" s="1354"/>
      <c r="D7" s="1354"/>
      <c r="E7" s="1354"/>
      <c r="F7" s="1354"/>
      <c r="G7" s="1355" t="str">
        <f>UPPER(DATA!H18)</f>
        <v>SECONDARY GRADE TEACHER</v>
      </c>
      <c r="H7" s="1355"/>
      <c r="I7" s="1355"/>
      <c r="J7" s="1356"/>
      <c r="K7" s="206"/>
      <c r="L7" s="206"/>
    </row>
    <row r="8" spans="2:12" ht="14.1" customHeight="1" x14ac:dyDescent="0.2">
      <c r="B8" s="1353" t="str">
        <f>UPPER(DATA!H33&amp;" - "&amp;DATA!H34)</f>
        <v>MANDAL RESOURCE CENTER - BETHAMCHERLA</v>
      </c>
      <c r="C8" s="1354"/>
      <c r="D8" s="1354"/>
      <c r="E8" s="1354"/>
      <c r="F8" s="1354"/>
      <c r="G8" s="1355" t="str">
        <f>UPPER(DATA!H21&amp;" - "&amp;DATA!H22)</f>
        <v>Z.P.HIGH SCHOOL - RAHIMANPURAM</v>
      </c>
      <c r="H8" s="1355"/>
      <c r="I8" s="1355"/>
      <c r="J8" s="1356"/>
    </row>
    <row r="9" spans="2:12" ht="14.1" customHeight="1" x14ac:dyDescent="0.2">
      <c r="B9" s="1357" t="str">
        <f>UPPER(DATA!H35)&amp;" (Mdl) - "&amp;UPPER(DATA!H36)&amp;" (Dt.)"</f>
        <v>BETHAMCHERLA (Mdl) - NANDYAL (Dt.)</v>
      </c>
      <c r="C9" s="1358"/>
      <c r="D9" s="1358"/>
      <c r="E9" s="1358"/>
      <c r="F9" s="1358"/>
      <c r="G9" s="1359" t="str">
        <f>UPPER(DATA!H23)&amp;" (Mdl) - "&amp;UPPER(DATA!H24)&amp;" (Dt.)"</f>
        <v>BETHAMCHERLA (Mdl) - NANDYAL (Dt.)</v>
      </c>
      <c r="H9" s="1359"/>
      <c r="I9" s="1359"/>
      <c r="J9" s="1360"/>
    </row>
    <row r="10" spans="2:12" ht="14.1" customHeight="1" x14ac:dyDescent="0.2">
      <c r="B10" s="1361" t="s">
        <v>100</v>
      </c>
      <c r="C10" s="1362"/>
      <c r="D10" s="1362"/>
      <c r="E10" s="1363" t="s">
        <v>104</v>
      </c>
      <c r="F10" s="1364"/>
      <c r="G10" s="1362" t="s">
        <v>295</v>
      </c>
      <c r="H10" s="1362"/>
      <c r="I10" s="1362" t="s">
        <v>296</v>
      </c>
      <c r="J10" s="1365"/>
    </row>
    <row r="11" spans="2:12" ht="14.1" customHeight="1" x14ac:dyDescent="0.2">
      <c r="B11" s="1344" t="str">
        <f>UPPER(DATA!H31)</f>
        <v>HYDM08185C</v>
      </c>
      <c r="C11" s="1345"/>
      <c r="D11" s="1345"/>
      <c r="E11" s="1346" t="str">
        <f>UPPER(DATA!H32)</f>
        <v/>
      </c>
      <c r="F11" s="1347"/>
      <c r="G11" s="1345" t="str">
        <f>UPPER(DATA!H20)</f>
        <v>MYPAN1234S</v>
      </c>
      <c r="H11" s="1345"/>
      <c r="I11" s="1348">
        <f>DATA!H19</f>
        <v>123456</v>
      </c>
      <c r="J11" s="1349"/>
    </row>
    <row r="12" spans="2:12" ht="12.6" customHeight="1" x14ac:dyDescent="0.2">
      <c r="B12" s="1350" t="s">
        <v>297</v>
      </c>
      <c r="C12" s="1351"/>
      <c r="D12" s="1351"/>
      <c r="E12" s="1351"/>
      <c r="F12" s="1351"/>
      <c r="G12" s="1351"/>
      <c r="H12" s="1351"/>
      <c r="I12" s="1351"/>
      <c r="J12" s="1352"/>
    </row>
    <row r="13" spans="2:12" ht="14.45" customHeight="1" x14ac:dyDescent="0.2">
      <c r="B13" s="1326" t="s">
        <v>298</v>
      </c>
      <c r="C13" s="1327"/>
      <c r="D13" s="1327"/>
      <c r="E13" s="205" t="s">
        <v>299</v>
      </c>
      <c r="F13" s="1338" t="s">
        <v>300</v>
      </c>
      <c r="G13" s="1339"/>
      <c r="H13" s="1327" t="s">
        <v>301</v>
      </c>
      <c r="I13" s="1327"/>
      <c r="J13" s="1340" t="s">
        <v>302</v>
      </c>
    </row>
    <row r="14" spans="2:12" ht="12" customHeight="1" x14ac:dyDescent="0.2">
      <c r="B14" s="1342" t="s">
        <v>303</v>
      </c>
      <c r="C14" s="1343"/>
      <c r="D14" s="1343"/>
      <c r="E14" s="203"/>
      <c r="F14" s="1328"/>
      <c r="G14" s="1329"/>
      <c r="H14" s="204" t="s">
        <v>304</v>
      </c>
      <c r="I14" s="204" t="s">
        <v>305</v>
      </c>
      <c r="J14" s="1341"/>
    </row>
    <row r="15" spans="2:12" ht="12" customHeight="1" x14ac:dyDescent="0.2">
      <c r="B15" s="1326" t="s">
        <v>306</v>
      </c>
      <c r="C15" s="1327"/>
      <c r="D15" s="1327"/>
      <c r="E15" s="203"/>
      <c r="F15" s="1328"/>
      <c r="G15" s="1329"/>
      <c r="H15" s="1330">
        <f>'ANNEXURE I'!B5</f>
        <v>45717</v>
      </c>
      <c r="I15" s="1330">
        <f>'ANNEXURE I'!B16</f>
        <v>46054</v>
      </c>
      <c r="J15" s="1332" t="s">
        <v>307</v>
      </c>
    </row>
    <row r="16" spans="2:12" ht="12" customHeight="1" x14ac:dyDescent="0.2">
      <c r="B16" s="1326" t="s">
        <v>308</v>
      </c>
      <c r="C16" s="1327"/>
      <c r="D16" s="1327"/>
      <c r="E16" s="203"/>
      <c r="F16" s="1328"/>
      <c r="G16" s="1329"/>
      <c r="H16" s="1331"/>
      <c r="I16" s="1331"/>
      <c r="J16" s="1333"/>
    </row>
    <row r="17" spans="2:10" ht="12" customHeight="1" x14ac:dyDescent="0.2">
      <c r="B17" s="1334" t="s">
        <v>309</v>
      </c>
      <c r="C17" s="1335"/>
      <c r="D17" s="1335"/>
      <c r="E17" s="202"/>
      <c r="F17" s="1336"/>
      <c r="G17" s="1337"/>
      <c r="H17" s="1331"/>
      <c r="I17" s="1331"/>
      <c r="J17" s="1333"/>
    </row>
    <row r="18" spans="2:10" ht="14.1" customHeight="1" x14ac:dyDescent="0.2">
      <c r="B18" s="1322" t="s">
        <v>310</v>
      </c>
      <c r="C18" s="1323"/>
      <c r="D18" s="1323"/>
      <c r="E18" s="1323"/>
      <c r="F18" s="1323"/>
      <c r="G18" s="1323"/>
      <c r="H18" s="1323"/>
      <c r="I18" s="1323"/>
      <c r="J18" s="1324"/>
    </row>
    <row r="19" spans="2:10" ht="13.5" customHeight="1" x14ac:dyDescent="0.2">
      <c r="B19" s="175">
        <v>1</v>
      </c>
      <c r="C19" s="1325" t="s">
        <v>311</v>
      </c>
      <c r="D19" s="1325"/>
      <c r="E19" s="1325"/>
      <c r="F19" s="201"/>
      <c r="G19" s="201"/>
      <c r="H19" s="199"/>
      <c r="I19" s="195"/>
      <c r="J19" s="182"/>
    </row>
    <row r="20" spans="2:10" ht="13.5" customHeight="1" x14ac:dyDescent="0.2">
      <c r="B20" s="175"/>
      <c r="C20" s="198" t="s">
        <v>206</v>
      </c>
      <c r="D20" s="1317" t="s">
        <v>312</v>
      </c>
      <c r="E20" s="1317"/>
      <c r="F20" s="1317"/>
      <c r="G20" s="1317"/>
      <c r="H20" s="482">
        <f>'ANNEXURE II'!T7</f>
        <v>978405</v>
      </c>
      <c r="I20" s="483">
        <f>H20</f>
        <v>978405</v>
      </c>
      <c r="J20" s="484"/>
    </row>
    <row r="21" spans="2:10" ht="13.5" customHeight="1" x14ac:dyDescent="0.2">
      <c r="B21" s="175"/>
      <c r="C21" s="198" t="s">
        <v>209</v>
      </c>
      <c r="D21" s="1317" t="s">
        <v>313</v>
      </c>
      <c r="E21" s="1317"/>
      <c r="F21" s="1317"/>
      <c r="G21" s="1317"/>
      <c r="H21" s="483">
        <v>0</v>
      </c>
      <c r="I21" s="483">
        <f t="shared" ref="I21:I23" si="0">H21</f>
        <v>0</v>
      </c>
      <c r="J21" s="484"/>
    </row>
    <row r="22" spans="2:10" ht="13.5" customHeight="1" x14ac:dyDescent="0.2">
      <c r="B22" s="175"/>
      <c r="C22" s="198" t="s">
        <v>221</v>
      </c>
      <c r="D22" s="1317" t="s">
        <v>314</v>
      </c>
      <c r="E22" s="1317"/>
      <c r="F22" s="1317"/>
      <c r="G22" s="1317"/>
      <c r="H22" s="483">
        <v>0</v>
      </c>
      <c r="I22" s="483">
        <f t="shared" si="0"/>
        <v>0</v>
      </c>
      <c r="J22" s="484"/>
    </row>
    <row r="23" spans="2:10" ht="13.5" customHeight="1" x14ac:dyDescent="0.2">
      <c r="B23" s="175"/>
      <c r="C23" s="198" t="s">
        <v>223</v>
      </c>
      <c r="D23" s="1297" t="s">
        <v>315</v>
      </c>
      <c r="E23" s="1297"/>
      <c r="F23" s="189"/>
      <c r="G23" s="189"/>
      <c r="H23" s="483">
        <f>SUM(H20:H22)</f>
        <v>978405</v>
      </c>
      <c r="I23" s="483">
        <f t="shared" si="0"/>
        <v>978405</v>
      </c>
      <c r="J23" s="485">
        <f>H23</f>
        <v>978405</v>
      </c>
    </row>
    <row r="24" spans="2:10" ht="13.5" customHeight="1" x14ac:dyDescent="0.2">
      <c r="B24" s="175">
        <v>2</v>
      </c>
      <c r="C24" s="1317" t="s">
        <v>316</v>
      </c>
      <c r="D24" s="1317"/>
      <c r="E24" s="1317"/>
      <c r="F24" s="1317"/>
      <c r="G24" s="1317"/>
      <c r="H24" s="486"/>
      <c r="I24" s="487"/>
      <c r="J24" s="1318"/>
    </row>
    <row r="25" spans="2:10" ht="13.5" customHeight="1" x14ac:dyDescent="0.2">
      <c r="B25" s="175"/>
      <c r="C25" s="198" t="s">
        <v>206</v>
      </c>
      <c r="D25" s="1297" t="s">
        <v>317</v>
      </c>
      <c r="E25" s="1297"/>
      <c r="F25" s="1297"/>
      <c r="G25" s="189"/>
      <c r="H25" s="483">
        <f>'ANNEXURE II'!T11</f>
        <v>0</v>
      </c>
      <c r="I25" s="483">
        <f>H25</f>
        <v>0</v>
      </c>
      <c r="J25" s="1320"/>
    </row>
    <row r="26" spans="2:10" ht="13.5" customHeight="1" x14ac:dyDescent="0.2">
      <c r="B26" s="175"/>
      <c r="C26" s="198" t="s">
        <v>209</v>
      </c>
      <c r="D26" s="180" t="s">
        <v>318</v>
      </c>
      <c r="E26" s="180"/>
      <c r="F26" s="180"/>
      <c r="G26" s="189"/>
      <c r="H26" s="483">
        <f>'ANNEXURE II'!S14</f>
        <v>0</v>
      </c>
      <c r="I26" s="482">
        <f>H26</f>
        <v>0</v>
      </c>
      <c r="J26" s="485">
        <f>SUM(H25,H26)</f>
        <v>0</v>
      </c>
    </row>
    <row r="27" spans="2:10" ht="13.5" customHeight="1" x14ac:dyDescent="0.2">
      <c r="B27" s="175">
        <v>3</v>
      </c>
      <c r="C27" s="1321" t="s">
        <v>319</v>
      </c>
      <c r="D27" s="1297"/>
      <c r="E27" s="1298"/>
      <c r="F27" s="200" t="s">
        <v>320</v>
      </c>
      <c r="G27" s="189"/>
      <c r="H27" s="489"/>
      <c r="I27" s="487"/>
      <c r="J27" s="485">
        <f>J23-J26</f>
        <v>978405</v>
      </c>
    </row>
    <row r="28" spans="2:10" ht="13.5" customHeight="1" x14ac:dyDescent="0.2">
      <c r="B28" s="175">
        <v>4</v>
      </c>
      <c r="C28" s="1317" t="s">
        <v>321</v>
      </c>
      <c r="D28" s="1317"/>
      <c r="E28" s="1317"/>
      <c r="F28" s="1317"/>
      <c r="G28" s="1317"/>
      <c r="H28" s="490"/>
      <c r="I28" s="487"/>
      <c r="J28" s="1318"/>
    </row>
    <row r="29" spans="2:10" ht="13.5" customHeight="1" x14ac:dyDescent="0.2">
      <c r="B29" s="175"/>
      <c r="C29" s="198" t="s">
        <v>206</v>
      </c>
      <c r="D29" s="1297" t="s">
        <v>322</v>
      </c>
      <c r="E29" s="1297"/>
      <c r="F29" s="189"/>
      <c r="G29" s="189"/>
      <c r="H29" s="483">
        <f>'ANNEXURE II'!S15</f>
        <v>75000</v>
      </c>
      <c r="I29" s="483">
        <f>H29</f>
        <v>75000</v>
      </c>
      <c r="J29" s="1319"/>
    </row>
    <row r="30" spans="2:10" ht="13.5" customHeight="1" x14ac:dyDescent="0.2">
      <c r="B30" s="175"/>
      <c r="C30" s="198" t="s">
        <v>209</v>
      </c>
      <c r="D30" s="1297" t="s">
        <v>323</v>
      </c>
      <c r="E30" s="1297"/>
      <c r="F30" s="189"/>
      <c r="G30" s="189"/>
      <c r="H30" s="483">
        <f>'ANNEXURE II'!S16</f>
        <v>0</v>
      </c>
      <c r="I30" s="482">
        <f>H30</f>
        <v>0</v>
      </c>
      <c r="J30" s="1320"/>
    </row>
    <row r="31" spans="2:10" ht="13.5" customHeight="1" x14ac:dyDescent="0.2">
      <c r="B31" s="175">
        <v>5</v>
      </c>
      <c r="C31" s="1297" t="s">
        <v>324</v>
      </c>
      <c r="D31" s="1297"/>
      <c r="E31" s="1297"/>
      <c r="F31" s="200" t="s">
        <v>325</v>
      </c>
      <c r="G31" s="189"/>
      <c r="H31" s="487"/>
      <c r="I31" s="487"/>
      <c r="J31" s="485">
        <f>H29+H30</f>
        <v>75000</v>
      </c>
    </row>
    <row r="32" spans="2:10" ht="13.5" customHeight="1" x14ac:dyDescent="0.2">
      <c r="B32" s="175">
        <v>6</v>
      </c>
      <c r="C32" s="1297" t="s">
        <v>326</v>
      </c>
      <c r="D32" s="1297"/>
      <c r="E32" s="1297"/>
      <c r="F32" s="200" t="s">
        <v>327</v>
      </c>
      <c r="G32" s="189"/>
      <c r="H32" s="491"/>
      <c r="I32" s="491" t="s">
        <v>176</v>
      </c>
      <c r="J32" s="485">
        <f>J27-J31</f>
        <v>903405</v>
      </c>
    </row>
    <row r="33" spans="2:10" ht="13.5" customHeight="1" x14ac:dyDescent="0.25">
      <c r="B33" s="175">
        <v>7</v>
      </c>
      <c r="C33" s="1297" t="s">
        <v>328</v>
      </c>
      <c r="D33" s="1297"/>
      <c r="E33" s="1297"/>
      <c r="F33" s="1297"/>
      <c r="G33" s="1297"/>
      <c r="H33" s="490"/>
      <c r="I33" s="491" t="s">
        <v>176</v>
      </c>
      <c r="J33" s="846"/>
    </row>
    <row r="34" spans="2:10" ht="13.5" customHeight="1" x14ac:dyDescent="0.25">
      <c r="B34" s="175"/>
      <c r="C34" s="198" t="s">
        <v>206</v>
      </c>
      <c r="D34" s="1297" t="str">
        <f>'ANNEXURE II'!C18</f>
        <v>INCOME FROM OTHER SOURCES</v>
      </c>
      <c r="E34" s="1297"/>
      <c r="F34" s="197" t="s">
        <v>176</v>
      </c>
      <c r="G34" s="197"/>
      <c r="H34" s="483">
        <f>'ANNEXURE II'!S18</f>
        <v>0</v>
      </c>
      <c r="I34" s="483">
        <f>H34</f>
        <v>0</v>
      </c>
      <c r="J34" s="847"/>
    </row>
    <row r="35" spans="2:10" ht="13.5" customHeight="1" x14ac:dyDescent="0.25">
      <c r="B35" s="175"/>
      <c r="C35" s="198" t="s">
        <v>209</v>
      </c>
      <c r="D35" s="1297" t="str">
        <f>'ANNEXURE II'!C19</f>
        <v>INCOME FROM FAMILY PENSION</v>
      </c>
      <c r="E35" s="1297"/>
      <c r="F35" s="1315"/>
      <c r="G35" s="1316"/>
      <c r="H35" s="483">
        <f>'ANNEXURE II'!S19</f>
        <v>0</v>
      </c>
      <c r="I35" s="483">
        <f t="shared" ref="I35:I36" si="1">H35</f>
        <v>0</v>
      </c>
      <c r="J35" s="847"/>
    </row>
    <row r="36" spans="2:10" ht="13.5" customHeight="1" x14ac:dyDescent="0.2">
      <c r="B36" s="175"/>
      <c r="C36" s="198" t="s">
        <v>209</v>
      </c>
      <c r="D36" s="1297" t="str">
        <f>'ANNEXURE II'!G25</f>
        <v>Income / Loss from Let-out Property</v>
      </c>
      <c r="E36" s="1297"/>
      <c r="F36" s="1297"/>
      <c r="G36" s="197"/>
      <c r="H36" s="483">
        <f>'ANNEXURE II'!S25</f>
        <v>0</v>
      </c>
      <c r="I36" s="483">
        <f t="shared" si="1"/>
        <v>0</v>
      </c>
      <c r="J36" s="485">
        <f>SUM(H34:H36)</f>
        <v>0</v>
      </c>
    </row>
    <row r="37" spans="2:10" ht="13.5" customHeight="1" x14ac:dyDescent="0.2">
      <c r="B37" s="175">
        <v>8</v>
      </c>
      <c r="C37" s="1297" t="s">
        <v>242</v>
      </c>
      <c r="D37" s="1297"/>
      <c r="E37" s="1297"/>
      <c r="F37" s="188" t="s">
        <v>329</v>
      </c>
      <c r="G37" s="196"/>
      <c r="H37" s="491"/>
      <c r="I37" s="491" t="s">
        <v>176</v>
      </c>
      <c r="J37" s="485">
        <f>J32+J36</f>
        <v>903405</v>
      </c>
    </row>
    <row r="38" spans="2:10" ht="13.5" customHeight="1" x14ac:dyDescent="0.2">
      <c r="B38" s="175">
        <v>9</v>
      </c>
      <c r="C38" s="1297" t="s">
        <v>330</v>
      </c>
      <c r="D38" s="1297"/>
      <c r="E38" s="1297"/>
      <c r="F38" s="189"/>
      <c r="G38" s="189"/>
      <c r="H38" s="195"/>
      <c r="I38" s="195"/>
      <c r="J38" s="182"/>
    </row>
    <row r="39" spans="2:10" ht="13.5" customHeight="1" x14ac:dyDescent="0.2">
      <c r="B39" s="175" t="s">
        <v>331</v>
      </c>
      <c r="C39" s="1297" t="s">
        <v>332</v>
      </c>
      <c r="D39" s="1297"/>
      <c r="E39" s="1297"/>
      <c r="F39" s="1297"/>
      <c r="G39" s="194"/>
      <c r="H39" s="193" t="s">
        <v>333</v>
      </c>
      <c r="I39" s="193" t="s">
        <v>334</v>
      </c>
      <c r="J39" s="182"/>
    </row>
    <row r="40" spans="2:10" ht="13.5" customHeight="1" x14ac:dyDescent="0.2">
      <c r="B40" s="175"/>
      <c r="C40" s="190" t="s">
        <v>206</v>
      </c>
      <c r="D40" s="189" t="s">
        <v>335</v>
      </c>
      <c r="E40" s="1297" t="str">
        <f>'ANNEXURE II'!D28</f>
        <v>CPS       :   A/c No. :  9963535304</v>
      </c>
      <c r="F40" s="1297"/>
      <c r="G40" s="189"/>
      <c r="H40" s="483">
        <f>'ANNEXURE II'!S28</f>
        <v>0</v>
      </c>
      <c r="I40" s="483">
        <f>H40</f>
        <v>0</v>
      </c>
      <c r="J40" s="492"/>
    </row>
    <row r="41" spans="2:10" ht="13.5" customHeight="1" x14ac:dyDescent="0.2">
      <c r="B41" s="175"/>
      <c r="C41" s="190" t="s">
        <v>209</v>
      </c>
      <c r="D41" s="189" t="s">
        <v>335</v>
      </c>
      <c r="E41" s="1297" t="str">
        <f>'ANNEXURE II'!D29</f>
        <v>A.P.G.L.I.  :   A/c No. :  L-123456</v>
      </c>
      <c r="F41" s="1297"/>
      <c r="G41" s="189"/>
      <c r="H41" s="483">
        <f>'ANNEXURE II'!S29</f>
        <v>0</v>
      </c>
      <c r="I41" s="483">
        <f t="shared" ref="I41:I55" si="2">H41</f>
        <v>0</v>
      </c>
      <c r="J41" s="492"/>
    </row>
    <row r="42" spans="2:10" ht="13.5" customHeight="1" x14ac:dyDescent="0.2">
      <c r="B42" s="175"/>
      <c r="C42" s="190" t="s">
        <v>221</v>
      </c>
      <c r="D42" s="189" t="s">
        <v>335</v>
      </c>
      <c r="E42" s="1297" t="str">
        <f>'ANNEXURE II'!D30</f>
        <v>G.I.S.    ( Group Insurance Scheme )</v>
      </c>
      <c r="F42" s="1297"/>
      <c r="G42" s="189"/>
      <c r="H42" s="483">
        <f>'ANNEXURE II'!S30</f>
        <v>0</v>
      </c>
      <c r="I42" s="483">
        <f t="shared" si="2"/>
        <v>0</v>
      </c>
      <c r="J42" s="492"/>
    </row>
    <row r="43" spans="2:10" ht="13.5" customHeight="1" x14ac:dyDescent="0.2">
      <c r="B43" s="175"/>
      <c r="C43" s="190" t="s">
        <v>223</v>
      </c>
      <c r="D43" s="189" t="s">
        <v>335</v>
      </c>
      <c r="E43" s="1297" t="str">
        <f>'ANNEXURE II'!D31</f>
        <v>L.I.C. PREMIUMS (Paid by Hand)</v>
      </c>
      <c r="F43" s="1297"/>
      <c r="G43" s="191"/>
      <c r="H43" s="483">
        <f>'ANNEXURE II'!S31</f>
        <v>0</v>
      </c>
      <c r="I43" s="483">
        <f t="shared" si="2"/>
        <v>0</v>
      </c>
      <c r="J43" s="492"/>
    </row>
    <row r="44" spans="2:10" ht="13.5" customHeight="1" x14ac:dyDescent="0.2">
      <c r="B44" s="175"/>
      <c r="C44" s="190" t="s">
        <v>224</v>
      </c>
      <c r="D44" s="189" t="s">
        <v>335</v>
      </c>
      <c r="E44" s="1297" t="str">
        <f>'ANNEXURE II'!D32</f>
        <v>POSTAL LIFE INSURANCE (PLI/RPLI)</v>
      </c>
      <c r="F44" s="1297"/>
      <c r="G44" s="189"/>
      <c r="H44" s="483">
        <f>'ANNEXURE II'!S32</f>
        <v>0</v>
      </c>
      <c r="I44" s="483">
        <f t="shared" si="2"/>
        <v>0</v>
      </c>
      <c r="J44" s="492"/>
    </row>
    <row r="45" spans="2:10" ht="13.5" customHeight="1" x14ac:dyDescent="0.2">
      <c r="B45" s="175"/>
      <c r="C45" s="190" t="s">
        <v>226</v>
      </c>
      <c r="D45" s="192" t="s">
        <v>335</v>
      </c>
      <c r="E45" s="1297" t="str">
        <f>'ANNEXURE II'!D33</f>
        <v>SUKANYA SAMRIDHI YOJANA</v>
      </c>
      <c r="F45" s="1297"/>
      <c r="G45" s="189"/>
      <c r="H45" s="483">
        <f>'ANNEXURE II'!S33</f>
        <v>0</v>
      </c>
      <c r="I45" s="483">
        <f t="shared" si="2"/>
        <v>0</v>
      </c>
      <c r="J45" s="492"/>
    </row>
    <row r="46" spans="2:10" ht="13.5" customHeight="1" x14ac:dyDescent="0.2">
      <c r="B46" s="175"/>
      <c r="C46" s="190" t="s">
        <v>227</v>
      </c>
      <c r="D46" s="189" t="s">
        <v>335</v>
      </c>
      <c r="E46" s="1297" t="str">
        <f>'ANNEXURE II'!D34</f>
        <v>S.B.I. LIFE INSURANCE</v>
      </c>
      <c r="F46" s="1297"/>
      <c r="G46" s="191"/>
      <c r="H46" s="483">
        <f>'ANNEXURE II'!S34</f>
        <v>0</v>
      </c>
      <c r="I46" s="483">
        <f t="shared" si="2"/>
        <v>0</v>
      </c>
      <c r="J46" s="492"/>
    </row>
    <row r="47" spans="2:10" ht="13.5" customHeight="1" x14ac:dyDescent="0.2">
      <c r="B47" s="175"/>
      <c r="C47" s="190" t="s">
        <v>229</v>
      </c>
      <c r="D47" s="180" t="s">
        <v>335</v>
      </c>
      <c r="E47" s="1297" t="str">
        <f>'ANNEXURE II'!D35</f>
        <v>PUBLIC PROVIDENT FUND</v>
      </c>
      <c r="F47" s="1297"/>
      <c r="G47" s="189"/>
      <c r="H47" s="483">
        <f>'ANNEXURE II'!S35</f>
        <v>0</v>
      </c>
      <c r="I47" s="483">
        <f t="shared" si="2"/>
        <v>0</v>
      </c>
      <c r="J47" s="492"/>
    </row>
    <row r="48" spans="2:10" ht="13.5" customHeight="1" x14ac:dyDescent="0.2">
      <c r="B48" s="175"/>
      <c r="C48" s="190" t="s">
        <v>230</v>
      </c>
      <c r="D48" s="189" t="s">
        <v>335</v>
      </c>
      <c r="E48" s="1297" t="str">
        <f>'ANNEXURE II'!D36</f>
        <v>TUTION FEE FOR CHILDREN</v>
      </c>
      <c r="F48" s="1297"/>
      <c r="G48" s="189"/>
      <c r="H48" s="483">
        <f>'ANNEXURE II'!S36</f>
        <v>0</v>
      </c>
      <c r="I48" s="483">
        <f t="shared" si="2"/>
        <v>0</v>
      </c>
      <c r="J48" s="492"/>
    </row>
    <row r="49" spans="2:11" ht="13.5" customHeight="1" x14ac:dyDescent="0.2">
      <c r="B49" s="175"/>
      <c r="C49" s="190" t="s">
        <v>231</v>
      </c>
      <c r="D49" s="189" t="s">
        <v>335</v>
      </c>
      <c r="E49" s="1297" t="str">
        <f>'ANNEXURE II'!D37</f>
        <v>HOME LOAN PRINCIPLE AMOUNT</v>
      </c>
      <c r="F49" s="1297"/>
      <c r="G49" s="191"/>
      <c r="H49" s="483">
        <f>'ANNEXURE II'!S37</f>
        <v>0</v>
      </c>
      <c r="I49" s="483">
        <f t="shared" si="2"/>
        <v>0</v>
      </c>
      <c r="J49" s="492"/>
    </row>
    <row r="50" spans="2:11" ht="13.5" customHeight="1" x14ac:dyDescent="0.2">
      <c r="B50" s="175"/>
      <c r="C50" s="190" t="s">
        <v>232</v>
      </c>
      <c r="D50" s="189" t="s">
        <v>335</v>
      </c>
      <c r="E50" s="1297" t="str">
        <f>'ANNEXURE II'!D38</f>
        <v xml:space="preserve">STAMP DUTY &amp; REGISTRATION </v>
      </c>
      <c r="F50" s="1297"/>
      <c r="G50" s="189"/>
      <c r="H50" s="483">
        <f>'ANNEXURE II'!S38</f>
        <v>0</v>
      </c>
      <c r="I50" s="483">
        <f t="shared" si="2"/>
        <v>0</v>
      </c>
      <c r="J50" s="492"/>
    </row>
    <row r="51" spans="2:11" ht="13.5" customHeight="1" x14ac:dyDescent="0.2">
      <c r="B51" s="175"/>
      <c r="C51" s="190" t="s">
        <v>233</v>
      </c>
      <c r="D51" s="189" t="s">
        <v>335</v>
      </c>
      <c r="E51" s="1297" t="str">
        <f>'ANNEXURE II'!D39</f>
        <v>HDFC LIFE INSURANCE</v>
      </c>
      <c r="F51" s="1297"/>
      <c r="G51" s="189"/>
      <c r="H51" s="483">
        <f>'ANNEXURE II'!S39</f>
        <v>0</v>
      </c>
      <c r="I51" s="483">
        <f t="shared" si="2"/>
        <v>0</v>
      </c>
      <c r="J51" s="492"/>
    </row>
    <row r="52" spans="2:11" ht="13.5" customHeight="1" x14ac:dyDescent="0.2">
      <c r="B52" s="175"/>
      <c r="C52" s="190" t="s">
        <v>234</v>
      </c>
      <c r="D52" s="189" t="s">
        <v>335</v>
      </c>
      <c r="E52" s="1297" t="str">
        <f>'ANNEXURE II'!D40</f>
        <v>OTHERS_________________</v>
      </c>
      <c r="F52" s="1297"/>
      <c r="G52" s="189"/>
      <c r="H52" s="483">
        <f>'ANNEXURE II'!S40</f>
        <v>0</v>
      </c>
      <c r="I52" s="483">
        <f t="shared" si="2"/>
        <v>0</v>
      </c>
      <c r="J52" s="493"/>
    </row>
    <row r="53" spans="2:11" ht="13.5" customHeight="1" x14ac:dyDescent="0.2">
      <c r="B53" s="175"/>
      <c r="C53" s="190"/>
      <c r="D53" s="189"/>
      <c r="E53" s="1310" t="s">
        <v>336</v>
      </c>
      <c r="F53" s="1310"/>
      <c r="G53" s="187"/>
      <c r="H53" s="483">
        <f>SUM(H40:H52)</f>
        <v>0</v>
      </c>
      <c r="I53" s="483">
        <f t="shared" si="2"/>
        <v>0</v>
      </c>
      <c r="J53" s="485">
        <f>IF(I53&lt;=150000,I53,150000)</f>
        <v>0</v>
      </c>
    </row>
    <row r="54" spans="2:11" ht="13.5" customHeight="1" x14ac:dyDescent="0.2">
      <c r="B54" s="175"/>
      <c r="C54" s="1308" t="s">
        <v>337</v>
      </c>
      <c r="D54" s="1309"/>
      <c r="E54" s="1310" t="str">
        <f>'ANNEXURE II'!C42</f>
        <v>National Pension Scheme    U/s 80CCD (1)(B)</v>
      </c>
      <c r="F54" s="1310"/>
      <c r="G54" s="1311"/>
      <c r="H54" s="483">
        <f>'ANNEXURE II'!S42</f>
        <v>0</v>
      </c>
      <c r="I54" s="483">
        <f>MIN(50000,H54)</f>
        <v>0</v>
      </c>
      <c r="J54" s="485">
        <f>IF(I54&lt;=50000,I54,50000)</f>
        <v>0</v>
      </c>
    </row>
    <row r="55" spans="2:11" ht="13.5" customHeight="1" x14ac:dyDescent="0.2">
      <c r="B55" s="175"/>
      <c r="C55" s="1308" t="s">
        <v>338</v>
      </c>
      <c r="D55" s="1309"/>
      <c r="E55" s="1310" t="str">
        <f>'ANNEXURE II'!C43</f>
        <v>National Pension Scheme    U/s 80CCD (2)</v>
      </c>
      <c r="F55" s="1310"/>
      <c r="G55" s="1311"/>
      <c r="H55" s="483">
        <f>'ANNEXURE II'!S43</f>
        <v>0</v>
      </c>
      <c r="I55" s="483">
        <f t="shared" si="2"/>
        <v>0</v>
      </c>
      <c r="J55" s="485">
        <f>I55</f>
        <v>0</v>
      </c>
    </row>
    <row r="56" spans="2:11" ht="13.5" customHeight="1" x14ac:dyDescent="0.2">
      <c r="B56" s="175"/>
      <c r="C56" s="1312" t="s">
        <v>339</v>
      </c>
      <c r="D56" s="1310"/>
      <c r="E56" s="1310"/>
      <c r="F56" s="1310"/>
      <c r="G56" s="1310"/>
      <c r="H56" s="330"/>
      <c r="I56" s="331"/>
      <c r="J56" s="485">
        <f>SUM(J53,J54,J55)</f>
        <v>0</v>
      </c>
      <c r="K56" s="186"/>
    </row>
    <row r="57" spans="2:11" ht="13.5" customHeight="1" x14ac:dyDescent="0.2">
      <c r="B57" s="175"/>
      <c r="D57" s="187"/>
      <c r="E57" s="187" t="str">
        <f>'ANNEXURE II'!C44</f>
        <v xml:space="preserve">GROSS  TOTAL  INCOME </v>
      </c>
      <c r="F57" s="188" t="s">
        <v>340</v>
      </c>
      <c r="G57" s="187"/>
      <c r="H57" s="1313" t="str">
        <f>CONCATENATE(J37," - ",J56," = ",ROUND((J37-J56),0))</f>
        <v>903405 - 0 = 903405</v>
      </c>
      <c r="I57" s="1313"/>
      <c r="J57" s="485">
        <f>J37-J56</f>
        <v>903405</v>
      </c>
      <c r="K57" s="186"/>
    </row>
    <row r="58" spans="2:11" ht="13.5" customHeight="1" x14ac:dyDescent="0.2">
      <c r="B58" s="175" t="s">
        <v>341</v>
      </c>
      <c r="C58" s="1314" t="s">
        <v>342</v>
      </c>
      <c r="D58" s="1314"/>
      <c r="E58" s="1314"/>
      <c r="F58" s="185"/>
      <c r="G58" s="184"/>
      <c r="H58" s="183"/>
      <c r="I58" s="183"/>
      <c r="J58" s="182"/>
    </row>
    <row r="59" spans="2:11" ht="13.5" customHeight="1" x14ac:dyDescent="0.2">
      <c r="B59" s="175"/>
      <c r="C59" s="176" t="s">
        <v>206</v>
      </c>
      <c r="D59" s="181" t="s">
        <v>343</v>
      </c>
      <c r="E59" s="180" t="str">
        <f>'ANNEXURE II'!D46</f>
        <v>E.W.F &amp; S.W.F &amp; CMRF            U/s 80(G)</v>
      </c>
      <c r="F59" s="180"/>
      <c r="G59" s="178"/>
      <c r="H59" s="483">
        <f>'ANNEXURE II'!S46</f>
        <v>0</v>
      </c>
      <c r="I59" s="483">
        <f>H59</f>
        <v>0</v>
      </c>
      <c r="J59" s="177"/>
    </row>
    <row r="60" spans="2:11" ht="13.5" customHeight="1" x14ac:dyDescent="0.2">
      <c r="B60" s="175"/>
      <c r="C60" s="176" t="s">
        <v>209</v>
      </c>
      <c r="D60" s="181" t="s">
        <v>344</v>
      </c>
      <c r="E60" s="180" t="s">
        <v>345</v>
      </c>
      <c r="F60" s="180"/>
      <c r="G60" s="178"/>
      <c r="H60" s="483">
        <f>'ANNEXURE II'!S47</f>
        <v>0</v>
      </c>
      <c r="I60" s="483">
        <f t="shared" ref="I60:I68" si="3">H60</f>
        <v>0</v>
      </c>
      <c r="J60" s="332"/>
    </row>
    <row r="61" spans="2:11" ht="13.5" customHeight="1" x14ac:dyDescent="0.2">
      <c r="B61" s="175"/>
      <c r="C61" s="176" t="s">
        <v>221</v>
      </c>
      <c r="D61" s="181" t="s">
        <v>346</v>
      </c>
      <c r="E61" s="180" t="s">
        <v>347</v>
      </c>
      <c r="F61" s="180"/>
      <c r="G61" s="178"/>
      <c r="H61" s="483">
        <f>'ANNEXURE II'!S48</f>
        <v>0</v>
      </c>
      <c r="I61" s="483">
        <f t="shared" ref="I61:I63" si="4">H61</f>
        <v>0</v>
      </c>
      <c r="J61" s="332"/>
    </row>
    <row r="62" spans="2:11" ht="13.5" customHeight="1" x14ac:dyDescent="0.2">
      <c r="B62" s="175"/>
      <c r="C62" s="176" t="s">
        <v>223</v>
      </c>
      <c r="D62" s="181" t="s">
        <v>348</v>
      </c>
      <c r="E62" s="180" t="s">
        <v>349</v>
      </c>
      <c r="F62" s="180"/>
      <c r="G62" s="178"/>
      <c r="H62" s="483">
        <f>'ANNEXURE II'!S49</f>
        <v>0</v>
      </c>
      <c r="I62" s="483">
        <f t="shared" si="4"/>
        <v>0</v>
      </c>
      <c r="J62" s="332"/>
    </row>
    <row r="63" spans="2:11" ht="13.5" customHeight="1" x14ac:dyDescent="0.2">
      <c r="B63" s="175"/>
      <c r="C63" s="176" t="s">
        <v>224</v>
      </c>
      <c r="D63" s="181" t="s">
        <v>350</v>
      </c>
      <c r="E63" s="180" t="s">
        <v>351</v>
      </c>
      <c r="F63" s="180"/>
      <c r="G63" s="178"/>
      <c r="H63" s="483">
        <f>'ANNEXURE II'!S50</f>
        <v>0</v>
      </c>
      <c r="I63" s="483">
        <f t="shared" si="4"/>
        <v>0</v>
      </c>
      <c r="J63" s="332"/>
    </row>
    <row r="64" spans="2:11" ht="13.5" customHeight="1" x14ac:dyDescent="0.2">
      <c r="B64" s="175"/>
      <c r="C64" s="176" t="s">
        <v>226</v>
      </c>
      <c r="D64" s="181" t="str">
        <f>IF(AGE&gt;60,"80TTB","80TTA")</f>
        <v>80TTA</v>
      </c>
      <c r="E64" s="180" t="str">
        <f>'ANNEXURE II'!D51</f>
        <v>80TTA : Interest on Savings A/c.  (AGE &lt;= 60)</v>
      </c>
      <c r="F64" s="180"/>
      <c r="G64" s="178"/>
      <c r="H64" s="483">
        <f>'ANNEXURE II'!S51</f>
        <v>0</v>
      </c>
      <c r="I64" s="483">
        <f t="shared" si="3"/>
        <v>0</v>
      </c>
      <c r="J64" s="332"/>
    </row>
    <row r="65" spans="2:10" ht="13.5" customHeight="1" x14ac:dyDescent="0.2">
      <c r="B65" s="175"/>
      <c r="C65" s="176" t="s">
        <v>227</v>
      </c>
      <c r="D65" s="179" t="s">
        <v>352</v>
      </c>
      <c r="E65" s="1297" t="str">
        <f>'ANNEXURE II'!D52</f>
        <v>Deduction for DISABLED (SELF) u/s 80U</v>
      </c>
      <c r="F65" s="1297"/>
      <c r="G65" s="1298"/>
      <c r="H65" s="483">
        <f>'ANNEXURE II'!S52</f>
        <v>0</v>
      </c>
      <c r="I65" s="483">
        <f t="shared" si="3"/>
        <v>0</v>
      </c>
      <c r="J65" s="1299" t="str">
        <f>IF(I65=125000,"Severe Disability &gt;80%",IF(I65=75000,"Disability is &gt;=40% &amp;  &lt;80%",""))</f>
        <v/>
      </c>
    </row>
    <row r="66" spans="2:10" ht="13.5" customHeight="1" x14ac:dyDescent="0.2">
      <c r="B66" s="175"/>
      <c r="C66" s="176" t="s">
        <v>229</v>
      </c>
      <c r="D66" s="179" t="s">
        <v>353</v>
      </c>
      <c r="E66" s="1297" t="str">
        <f>'ANNEXURE II'!D53</f>
        <v>Medical Insurance Premiums     80D</v>
      </c>
      <c r="F66" s="1297"/>
      <c r="G66" s="178"/>
      <c r="H66" s="483">
        <f>'ANNEXURE II'!S53</f>
        <v>0</v>
      </c>
      <c r="I66" s="483">
        <f t="shared" si="3"/>
        <v>0</v>
      </c>
      <c r="J66" s="1299"/>
    </row>
    <row r="67" spans="2:10" ht="13.5" customHeight="1" x14ac:dyDescent="0.2">
      <c r="B67" s="175"/>
      <c r="C67" s="176" t="s">
        <v>230</v>
      </c>
      <c r="D67" s="179" t="s">
        <v>343</v>
      </c>
      <c r="E67" s="1297" t="str">
        <f>'ANNEXURE II'!D54</f>
        <v>Donations of Charitable Trust    80G</v>
      </c>
      <c r="F67" s="1297"/>
      <c r="G67" s="178"/>
      <c r="H67" s="483">
        <f>'ANNEXURE II'!S54</f>
        <v>0</v>
      </c>
      <c r="I67" s="483">
        <f t="shared" si="3"/>
        <v>0</v>
      </c>
      <c r="J67" s="332"/>
    </row>
    <row r="68" spans="2:10" ht="13.5" customHeight="1" x14ac:dyDescent="0.2">
      <c r="B68" s="175"/>
      <c r="C68" s="176" t="s">
        <v>231</v>
      </c>
      <c r="D68" s="179" t="s">
        <v>353</v>
      </c>
      <c r="E68" s="1297" t="str">
        <f>'ANNEXURE II'!D55</f>
        <v>Employee Health Scheme (EHS) 80D</v>
      </c>
      <c r="F68" s="1297"/>
      <c r="G68" s="178"/>
      <c r="H68" s="483">
        <f>'ANNEXURE II'!S55</f>
        <v>0</v>
      </c>
      <c r="I68" s="483">
        <f t="shared" si="3"/>
        <v>0</v>
      </c>
      <c r="J68" s="332"/>
    </row>
    <row r="69" spans="2:10" ht="13.5" customHeight="1" x14ac:dyDescent="0.2">
      <c r="B69" s="175"/>
      <c r="C69" s="176"/>
      <c r="D69" s="176"/>
      <c r="E69" s="1303"/>
      <c r="F69" s="1303"/>
      <c r="G69" s="1303"/>
      <c r="H69" s="483">
        <f>SUM(H59:H68)</f>
        <v>0</v>
      </c>
      <c r="I69" s="494">
        <f>H69</f>
        <v>0</v>
      </c>
      <c r="J69" s="485">
        <f>I69</f>
        <v>0</v>
      </c>
    </row>
    <row r="70" spans="2:10" ht="14.45" customHeight="1" x14ac:dyDescent="0.2">
      <c r="B70" s="175"/>
      <c r="C70" s="1304" t="s">
        <v>354</v>
      </c>
      <c r="D70" s="1305"/>
      <c r="E70" s="1305"/>
      <c r="F70" s="1305"/>
      <c r="G70" s="1305"/>
      <c r="H70" s="174"/>
      <c r="I70" s="173"/>
      <c r="J70" s="488">
        <f>J56+J69</f>
        <v>0</v>
      </c>
    </row>
    <row r="71" spans="2:10" ht="15" customHeight="1" thickBot="1" x14ac:dyDescent="0.25">
      <c r="B71" s="172"/>
      <c r="C71" s="1306" t="s">
        <v>355</v>
      </c>
      <c r="D71" s="1307"/>
      <c r="E71" s="1307"/>
      <c r="F71" s="1307"/>
      <c r="G71" s="1307"/>
      <c r="H71" s="1300" t="str">
        <f>CONCATENATE(ROUND(J37,0)," - ",ROUND(J70,0)," = ",ROUND((J37-J70),0))</f>
        <v>903405 - 0 = 903405</v>
      </c>
      <c r="I71" s="1301"/>
      <c r="J71" s="495">
        <f>ROUND(J37-J70,-1)</f>
        <v>903410</v>
      </c>
    </row>
    <row r="72" spans="2:10" s="171" customFormat="1" ht="15" customHeight="1" thickTop="1" x14ac:dyDescent="0.1">
      <c r="B72" s="1302" t="s">
        <v>179</v>
      </c>
      <c r="C72" s="1302"/>
      <c r="D72" s="1302"/>
      <c r="E72" s="1302"/>
      <c r="F72" s="1302"/>
      <c r="G72" s="1302"/>
      <c r="H72" s="1302"/>
      <c r="I72" s="1302"/>
      <c r="J72" s="1302"/>
    </row>
  </sheetData>
  <sheetProtection algorithmName="SHA-512" hashValue="prqbqHo9HrxVnQx9eBaoQvljnPD7RenV7nQG3xe6nJP88y+w6hCPSXgc0WILVNwnEPTzAhrpternUkD/vxEzTw==" saltValue="UfqOhuDFLgt0GmpkHY+ZxQ==" spinCount="100000" sheet="1" objects="1" scenarios="1" selectLockedCells="1" selectUnlockedCells="1"/>
  <protectedRanges>
    <protectedRange sqref="I40:I55" name="Range5"/>
    <protectedRange sqref="F9" name="Range2"/>
    <protectedRange sqref="E14:F17" name="Range1"/>
    <protectedRange sqref="H15:J17" name="Range3"/>
    <protectedRange sqref="H15:J17" name="Range4"/>
  </protectedRanges>
  <mergeCells count="95">
    <mergeCell ref="E2:H2"/>
    <mergeCell ref="I2:J2"/>
    <mergeCell ref="B3:D3"/>
    <mergeCell ref="E3:H3"/>
    <mergeCell ref="B5:F5"/>
    <mergeCell ref="G5:J5"/>
    <mergeCell ref="B6:F6"/>
    <mergeCell ref="G6:J6"/>
    <mergeCell ref="B4:H4"/>
    <mergeCell ref="I3:J4"/>
    <mergeCell ref="B7:F7"/>
    <mergeCell ref="G7:J7"/>
    <mergeCell ref="B8:F8"/>
    <mergeCell ref="G8:J8"/>
    <mergeCell ref="B9:F9"/>
    <mergeCell ref="G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J12"/>
    <mergeCell ref="B13:D13"/>
    <mergeCell ref="F13:G13"/>
    <mergeCell ref="H13:I13"/>
    <mergeCell ref="J13:J14"/>
    <mergeCell ref="B14:D14"/>
    <mergeCell ref="F14:G14"/>
    <mergeCell ref="B15:D15"/>
    <mergeCell ref="F15:G15"/>
    <mergeCell ref="H15:H17"/>
    <mergeCell ref="I15:I17"/>
    <mergeCell ref="J15:J17"/>
    <mergeCell ref="B16:D16"/>
    <mergeCell ref="F16:G16"/>
    <mergeCell ref="B17:D17"/>
    <mergeCell ref="F17:G17"/>
    <mergeCell ref="B18:J18"/>
    <mergeCell ref="C19:E19"/>
    <mergeCell ref="D20:G20"/>
    <mergeCell ref="D21:G21"/>
    <mergeCell ref="D22:G22"/>
    <mergeCell ref="D23:E23"/>
    <mergeCell ref="C24:G24"/>
    <mergeCell ref="J24:J25"/>
    <mergeCell ref="D25:F25"/>
    <mergeCell ref="C27:E27"/>
    <mergeCell ref="C28:G28"/>
    <mergeCell ref="J28:J30"/>
    <mergeCell ref="D29:E29"/>
    <mergeCell ref="D30:E30"/>
    <mergeCell ref="C31:E31"/>
    <mergeCell ref="C32:E32"/>
    <mergeCell ref="C33:G33"/>
    <mergeCell ref="D34:E34"/>
    <mergeCell ref="D35:E35"/>
    <mergeCell ref="F35:G35"/>
    <mergeCell ref="D36:F36"/>
    <mergeCell ref="C37:E37"/>
    <mergeCell ref="C38:E38"/>
    <mergeCell ref="C39:F39"/>
    <mergeCell ref="E40:F40"/>
    <mergeCell ref="E41:F41"/>
    <mergeCell ref="E42:F42"/>
    <mergeCell ref="E44:F44"/>
    <mergeCell ref="E45:F45"/>
    <mergeCell ref="E46:F46"/>
    <mergeCell ref="E47:F47"/>
    <mergeCell ref="E48:F48"/>
    <mergeCell ref="E43:F43"/>
    <mergeCell ref="E49:F49"/>
    <mergeCell ref="E50:F50"/>
    <mergeCell ref="E51:F51"/>
    <mergeCell ref="E52:F52"/>
    <mergeCell ref="E53:F53"/>
    <mergeCell ref="C54:D54"/>
    <mergeCell ref="E54:G54"/>
    <mergeCell ref="C55:D55"/>
    <mergeCell ref="E55:G55"/>
    <mergeCell ref="C56:G56"/>
    <mergeCell ref="H57:I57"/>
    <mergeCell ref="C58:E58"/>
    <mergeCell ref="E65:G65"/>
    <mergeCell ref="J65:J66"/>
    <mergeCell ref="H71:I71"/>
    <mergeCell ref="B72:J72"/>
    <mergeCell ref="E66:F66"/>
    <mergeCell ref="E67:F67"/>
    <mergeCell ref="E68:F68"/>
    <mergeCell ref="E69:G69"/>
    <mergeCell ref="C70:G70"/>
    <mergeCell ref="C71:G71"/>
  </mergeCells>
  <conditionalFormatting sqref="H20:J37 H40:J56 J57 H59:I59 H60:J65 H66:I66 H67:J69 J70:J71">
    <cfRule type="cellIs" dxfId="20" priority="1" operator="equal">
      <formula>0</formula>
    </cfRule>
  </conditionalFormatting>
  <printOptions horizontalCentered="1" verticalCentered="1"/>
  <pageMargins left="7.874015748031496E-2" right="7.874015748031496E-2" top="0.15748031496062992" bottom="0.15748031496062992" header="7.874015748031496E-2" footer="7.874015748031496E-2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3507DF"/>
    <pageSetUpPr fitToPage="1"/>
  </sheetPr>
  <dimension ref="B1:K51"/>
  <sheetViews>
    <sheetView showGridLines="0" showRowColHeaders="0" zoomScalePageLayoutView="30" workbookViewId="0">
      <pane xSplit="2" ySplit="2" topLeftCell="C3" activePane="bottomRight" state="frozen"/>
      <selection pane="bottomLeft" activeCell="E2" sqref="E2:H2"/>
      <selection pane="topRight" activeCell="E2" sqref="E2:H2"/>
      <selection pane="bottomRight" activeCell="B51" sqref="B51:J51"/>
    </sheetView>
  </sheetViews>
  <sheetFormatPr defaultColWidth="9.14453125" defaultRowHeight="15" x14ac:dyDescent="0.2"/>
  <cols>
    <col min="1" max="1" width="0.94140625" style="208" customWidth="1" collapsed="1"/>
    <col min="2" max="2" width="3.765625" style="208" customWidth="1" collapsed="1"/>
    <col min="3" max="5" width="9.68359375" style="208" customWidth="1" collapsed="1"/>
    <col min="6" max="6" width="10.22265625" style="208" customWidth="1" collapsed="1"/>
    <col min="7" max="9" width="12.64453125" style="208" customWidth="1" collapsed="1"/>
    <col min="10" max="10" width="13.71875" style="208" customWidth="1" collapsed="1"/>
    <col min="11" max="11" width="10.89453125" style="208" bestFit="1" customWidth="1" collapsed="1"/>
    <col min="12" max="16384" width="9.14453125" style="208" collapsed="1"/>
  </cols>
  <sheetData>
    <row r="1" spans="2:11" ht="8.1" customHeight="1" thickBot="1" x14ac:dyDescent="0.25"/>
    <row r="2" spans="2:11" ht="15.75" thickTop="1" x14ac:dyDescent="0.2">
      <c r="B2" s="250">
        <v>10</v>
      </c>
      <c r="C2" s="249" t="s">
        <v>356</v>
      </c>
      <c r="D2" s="247"/>
      <c r="E2" s="247"/>
      <c r="F2" s="247"/>
      <c r="G2" s="248" t="s">
        <v>357</v>
      </c>
      <c r="H2" s="247"/>
      <c r="I2" s="496"/>
      <c r="J2" s="497">
        <f>FORM16_FRONT!J71</f>
        <v>903410</v>
      </c>
      <c r="K2" s="246"/>
    </row>
    <row r="3" spans="2:11" ht="16.5" customHeight="1" x14ac:dyDescent="0.25">
      <c r="B3" s="241">
        <v>11</v>
      </c>
      <c r="C3" s="254" t="s">
        <v>272</v>
      </c>
      <c r="D3" s="253"/>
      <c r="E3" s="1432"/>
      <c r="F3" s="1432"/>
      <c r="G3" s="1433" t="str">
        <f>" ("&amp;'ANNEXURE I'!B2&amp;" REGIME)"</f>
        <v xml:space="preserve"> (NEW REGIME)</v>
      </c>
      <c r="H3" s="1434"/>
      <c r="I3" s="498"/>
      <c r="J3" s="499">
        <f>'ANNEXURE II'!T66</f>
        <v>30341</v>
      </c>
    </row>
    <row r="4" spans="2:11" ht="15" customHeight="1" x14ac:dyDescent="0.2">
      <c r="B4" s="241">
        <v>12</v>
      </c>
      <c r="C4" s="573" t="str">
        <f>'ANNEXURE II'!C67</f>
        <v>LESS : Tax Rebate u/s 87(A) is Applied</v>
      </c>
      <c r="D4" s="253"/>
      <c r="G4" s="571" t="str">
        <f>'ANNEXURE II'!J67</f>
        <v/>
      </c>
      <c r="H4" s="572"/>
      <c r="I4" s="500"/>
      <c r="J4" s="499">
        <f>'ANNEXURE II'!T67</f>
        <v>30341</v>
      </c>
      <c r="K4" s="243"/>
    </row>
    <row r="5" spans="2:11" ht="15" customHeight="1" x14ac:dyDescent="0.2">
      <c r="B5" s="241">
        <v>13</v>
      </c>
      <c r="C5" s="1428" t="s">
        <v>358</v>
      </c>
      <c r="D5" s="1429"/>
      <c r="E5" s="1429"/>
      <c r="F5" s="237"/>
      <c r="G5" s="237"/>
      <c r="H5" s="237"/>
      <c r="I5" s="498"/>
      <c r="J5" s="499">
        <f>J3-J4</f>
        <v>0</v>
      </c>
      <c r="K5" s="243"/>
    </row>
    <row r="6" spans="2:11" ht="15" customHeight="1" x14ac:dyDescent="0.2">
      <c r="B6" s="241">
        <v>14</v>
      </c>
      <c r="C6" s="374" t="str">
        <f>'ANNEXURE II'!C69 &amp;"  "&amp;'ANNEXURE II'!J69</f>
        <v xml:space="preserve">ADD : SURCHARGE (After Marginal Relief)  </v>
      </c>
      <c r="D6" s="237"/>
      <c r="E6" s="237"/>
      <c r="F6" s="237"/>
      <c r="G6" s="237"/>
      <c r="H6" s="237"/>
      <c r="I6" s="498"/>
      <c r="J6" s="499">
        <f>'ANNEXURE II'!T69</f>
        <v>0</v>
      </c>
      <c r="K6" s="243"/>
    </row>
    <row r="7" spans="2:11" ht="15" customHeight="1" x14ac:dyDescent="0.2">
      <c r="B7" s="241">
        <v>15</v>
      </c>
      <c r="C7" s="242" t="str">
        <f>'ANNEXURE II'!C70</f>
        <v>ADD : Health and Education Cess @ 4%</v>
      </c>
      <c r="D7" s="237"/>
      <c r="E7" s="237"/>
      <c r="F7" s="245"/>
      <c r="G7" s="240" t="s">
        <v>359</v>
      </c>
      <c r="H7" s="244"/>
      <c r="I7" s="498"/>
      <c r="J7" s="499">
        <f>'ANNEXURE II'!T70</f>
        <v>0</v>
      </c>
      <c r="K7" s="243"/>
    </row>
    <row r="8" spans="2:11" x14ac:dyDescent="0.2">
      <c r="B8" s="241">
        <v>16</v>
      </c>
      <c r="C8" s="1428" t="s">
        <v>360</v>
      </c>
      <c r="D8" s="1429"/>
      <c r="E8" s="1429"/>
      <c r="F8" s="237"/>
      <c r="G8" s="240" t="s">
        <v>361</v>
      </c>
      <c r="H8" s="236"/>
      <c r="I8" s="498"/>
      <c r="J8" s="499">
        <f>SUM(J5:J7)</f>
        <v>0</v>
      </c>
    </row>
    <row r="9" spans="2:11" x14ac:dyDescent="0.2">
      <c r="B9" s="241">
        <v>17</v>
      </c>
      <c r="C9" s="242" t="s">
        <v>362</v>
      </c>
      <c r="D9" s="237"/>
      <c r="E9" s="237"/>
      <c r="F9" s="237"/>
      <c r="G9" s="236"/>
      <c r="H9" s="236"/>
      <c r="I9" s="498"/>
      <c r="J9" s="499">
        <f>'ANNEXURE II'!S72</f>
        <v>0</v>
      </c>
    </row>
    <row r="10" spans="2:11" x14ac:dyDescent="0.2">
      <c r="B10" s="241">
        <v>18</v>
      </c>
      <c r="C10" s="1428" t="s">
        <v>363</v>
      </c>
      <c r="D10" s="1429"/>
      <c r="E10" s="1429"/>
      <c r="F10" s="1429"/>
      <c r="G10" s="240" t="s">
        <v>364</v>
      </c>
      <c r="H10" s="236"/>
      <c r="I10" s="498"/>
      <c r="J10" s="499">
        <f>MAX(0,J8-J9)</f>
        <v>0</v>
      </c>
    </row>
    <row r="11" spans="2:11" x14ac:dyDescent="0.2">
      <c r="B11" s="239" t="s">
        <v>365</v>
      </c>
      <c r="C11" s="238" t="s">
        <v>366</v>
      </c>
      <c r="D11" s="237"/>
      <c r="E11" s="237"/>
      <c r="F11" s="236"/>
      <c r="G11" s="1430" t="str">
        <f>'ANNEXURE II'!J73</f>
        <v>From Mar - 2025 to Feb - 2026</v>
      </c>
      <c r="H11" s="1431"/>
      <c r="I11" s="498"/>
      <c r="J11" s="499">
        <f>'ANNEXURE II'!T73</f>
        <v>0</v>
      </c>
    </row>
    <row r="12" spans="2:11" x14ac:dyDescent="0.2">
      <c r="B12" s="235" t="s">
        <v>367</v>
      </c>
      <c r="C12" s="1435" t="s">
        <v>368</v>
      </c>
      <c r="D12" s="1436"/>
      <c r="E12" s="1436"/>
      <c r="F12" s="1436"/>
      <c r="G12" s="1436"/>
      <c r="H12" s="1436"/>
      <c r="I12" s="498"/>
      <c r="J12" s="499">
        <v>0</v>
      </c>
    </row>
    <row r="13" spans="2:11" ht="16.5" x14ac:dyDescent="0.25">
      <c r="B13" s="234">
        <v>19</v>
      </c>
      <c r="C13" s="1423" t="s">
        <v>369</v>
      </c>
      <c r="D13" s="1424"/>
      <c r="E13" s="1427" t="str">
        <f>'ANNEXURE II'!S74</f>
        <v>ZERO TAX →</v>
      </c>
      <c r="F13" s="1427"/>
      <c r="G13" s="1425" t="str">
        <f>FORM16_FRONT!I3</f>
        <v>(General Citizen)</v>
      </c>
      <c r="H13" s="1426"/>
      <c r="I13" s="501"/>
      <c r="J13" s="485">
        <f>'ANNEXURE II'!T74</f>
        <v>0</v>
      </c>
    </row>
    <row r="14" spans="2:11" ht="20.100000000000001" customHeight="1" x14ac:dyDescent="0.2">
      <c r="B14" s="1403" t="s">
        <v>370</v>
      </c>
      <c r="C14" s="1404"/>
      <c r="D14" s="1404"/>
      <c r="E14" s="1404"/>
      <c r="F14" s="1404"/>
      <c r="G14" s="1404"/>
      <c r="H14" s="1404"/>
      <c r="I14" s="1404"/>
      <c r="J14" s="1405"/>
    </row>
    <row r="15" spans="2:11" ht="20.100000000000001" customHeight="1" x14ac:dyDescent="0.2">
      <c r="B15" s="1406" t="s">
        <v>371</v>
      </c>
      <c r="C15" s="1407"/>
      <c r="D15" s="1407"/>
      <c r="E15" s="1407"/>
      <c r="F15" s="1407"/>
      <c r="G15" s="1407"/>
      <c r="H15" s="1407"/>
      <c r="I15" s="1407"/>
      <c r="J15" s="1408"/>
    </row>
    <row r="16" spans="2:11" ht="14.1" customHeight="1" x14ac:dyDescent="0.2">
      <c r="B16" s="1409" t="s">
        <v>372</v>
      </c>
      <c r="C16" s="1412" t="s">
        <v>373</v>
      </c>
      <c r="D16" s="1412" t="s">
        <v>374</v>
      </c>
      <c r="E16" s="1412" t="s">
        <v>375</v>
      </c>
      <c r="F16" s="1412" t="s">
        <v>376</v>
      </c>
      <c r="G16" s="1412" t="s">
        <v>377</v>
      </c>
      <c r="H16" s="1412" t="s">
        <v>378</v>
      </c>
      <c r="I16" s="1417" t="s">
        <v>379</v>
      </c>
      <c r="J16" s="1420" t="s">
        <v>380</v>
      </c>
    </row>
    <row r="17" spans="2:10" ht="14.1" customHeight="1" x14ac:dyDescent="0.2">
      <c r="B17" s="1410"/>
      <c r="C17" s="1413"/>
      <c r="D17" s="1413"/>
      <c r="E17" s="1415"/>
      <c r="F17" s="1415"/>
      <c r="G17" s="1415"/>
      <c r="H17" s="1415"/>
      <c r="I17" s="1418"/>
      <c r="J17" s="1421"/>
    </row>
    <row r="18" spans="2:10" ht="14.1" customHeight="1" x14ac:dyDescent="0.2">
      <c r="B18" s="1411"/>
      <c r="C18" s="1414"/>
      <c r="D18" s="1414"/>
      <c r="E18" s="1416"/>
      <c r="F18" s="1416"/>
      <c r="G18" s="1416"/>
      <c r="H18" s="1416"/>
      <c r="I18" s="1419"/>
      <c r="J18" s="1422"/>
    </row>
    <row r="19" spans="2:10" ht="17.100000000000001" customHeight="1" x14ac:dyDescent="0.2">
      <c r="B19" s="233">
        <v>1</v>
      </c>
      <c r="C19" s="1398" t="s">
        <v>381</v>
      </c>
      <c r="D19" s="558">
        <f>'ANNEXURE I'!B5</f>
        <v>45717</v>
      </c>
      <c r="E19" s="558">
        <f>D20</f>
        <v>45748</v>
      </c>
      <c r="F19" s="574" t="str">
        <f>IF(DATA!H3&gt;0,DATA!H3,"")</f>
        <v/>
      </c>
      <c r="G19" s="231"/>
      <c r="H19" s="231"/>
      <c r="I19" s="230"/>
      <c r="J19" s="229"/>
    </row>
    <row r="20" spans="2:10" ht="17.100000000000001" customHeight="1" x14ac:dyDescent="0.2">
      <c r="B20" s="232">
        <v>2</v>
      </c>
      <c r="C20" s="1399"/>
      <c r="D20" s="558">
        <f>'ANNEXURE I'!B6</f>
        <v>45748</v>
      </c>
      <c r="E20" s="558">
        <f t="shared" ref="E20:E29" si="0">D21</f>
        <v>45778</v>
      </c>
      <c r="F20" s="574" t="str">
        <f>IF(DATA!H4&gt;0,DATA!H4,"")</f>
        <v/>
      </c>
      <c r="G20" s="231"/>
      <c r="H20" s="231"/>
      <c r="I20" s="230"/>
      <c r="J20" s="229"/>
    </row>
    <row r="21" spans="2:10" ht="17.100000000000001" customHeight="1" x14ac:dyDescent="0.2">
      <c r="B21" s="232">
        <v>3</v>
      </c>
      <c r="C21" s="1400"/>
      <c r="D21" s="558">
        <f>'ANNEXURE I'!B7</f>
        <v>45778</v>
      </c>
      <c r="E21" s="558">
        <f t="shared" si="0"/>
        <v>45809</v>
      </c>
      <c r="F21" s="574" t="str">
        <f>IF(DATA!H5&gt;0,DATA!H5,"")</f>
        <v/>
      </c>
      <c r="G21" s="231"/>
      <c r="H21" s="231"/>
      <c r="I21" s="230"/>
      <c r="J21" s="229"/>
    </row>
    <row r="22" spans="2:10" ht="17.100000000000001" customHeight="1" x14ac:dyDescent="0.2">
      <c r="B22" s="232">
        <v>4</v>
      </c>
      <c r="C22" s="1398" t="s">
        <v>382</v>
      </c>
      <c r="D22" s="558">
        <f>'ANNEXURE I'!B8</f>
        <v>45809</v>
      </c>
      <c r="E22" s="558">
        <f t="shared" si="0"/>
        <v>45839</v>
      </c>
      <c r="F22" s="574" t="str">
        <f>IF(DATA!H6&gt;0,DATA!H6,"")</f>
        <v/>
      </c>
      <c r="G22" s="231"/>
      <c r="H22" s="231"/>
      <c r="I22" s="230"/>
      <c r="J22" s="229"/>
    </row>
    <row r="23" spans="2:10" ht="17.100000000000001" customHeight="1" x14ac:dyDescent="0.2">
      <c r="B23" s="232">
        <v>5</v>
      </c>
      <c r="C23" s="1399"/>
      <c r="D23" s="558">
        <f>'ANNEXURE I'!B9</f>
        <v>45839</v>
      </c>
      <c r="E23" s="558">
        <f t="shared" si="0"/>
        <v>45870</v>
      </c>
      <c r="F23" s="574" t="str">
        <f>IF(DATA!H7&gt;0,DATA!H7,"")</f>
        <v/>
      </c>
      <c r="G23" s="231"/>
      <c r="H23" s="231"/>
      <c r="I23" s="230"/>
      <c r="J23" s="229"/>
    </row>
    <row r="24" spans="2:10" ht="17.100000000000001" customHeight="1" x14ac:dyDescent="0.2">
      <c r="B24" s="232">
        <v>6</v>
      </c>
      <c r="C24" s="1400"/>
      <c r="D24" s="558">
        <f>'ANNEXURE I'!B10</f>
        <v>45870</v>
      </c>
      <c r="E24" s="558">
        <f t="shared" si="0"/>
        <v>45901</v>
      </c>
      <c r="F24" s="574" t="str">
        <f>IF(DATA!H8&gt;0,DATA!H8,"")</f>
        <v/>
      </c>
      <c r="G24" s="231"/>
      <c r="H24" s="231"/>
      <c r="I24" s="230"/>
      <c r="J24" s="229"/>
    </row>
    <row r="25" spans="2:10" ht="17.100000000000001" customHeight="1" x14ac:dyDescent="0.2">
      <c r="B25" s="232">
        <v>7</v>
      </c>
      <c r="C25" s="1398" t="s">
        <v>383</v>
      </c>
      <c r="D25" s="558">
        <f>'ANNEXURE I'!B11</f>
        <v>45901</v>
      </c>
      <c r="E25" s="558">
        <f t="shared" si="0"/>
        <v>45931</v>
      </c>
      <c r="F25" s="574" t="str">
        <f>IF(DATA!H9&gt;0,DATA!H9,"")</f>
        <v/>
      </c>
      <c r="G25" s="231"/>
      <c r="H25" s="231"/>
      <c r="I25" s="230"/>
      <c r="J25" s="229"/>
    </row>
    <row r="26" spans="2:10" ht="17.100000000000001" customHeight="1" x14ac:dyDescent="0.2">
      <c r="B26" s="232">
        <v>8</v>
      </c>
      <c r="C26" s="1399"/>
      <c r="D26" s="558">
        <f>'ANNEXURE I'!B12</f>
        <v>45931</v>
      </c>
      <c r="E26" s="558">
        <f t="shared" si="0"/>
        <v>45962</v>
      </c>
      <c r="F26" s="574" t="str">
        <f>IF(DATA!H10&gt;0,DATA!H10,"")</f>
        <v/>
      </c>
      <c r="G26" s="231"/>
      <c r="H26" s="231"/>
      <c r="I26" s="230"/>
      <c r="J26" s="229"/>
    </row>
    <row r="27" spans="2:10" ht="17.100000000000001" customHeight="1" x14ac:dyDescent="0.2">
      <c r="B27" s="232">
        <v>9</v>
      </c>
      <c r="C27" s="1400"/>
      <c r="D27" s="558">
        <f>'ANNEXURE I'!B13</f>
        <v>45962</v>
      </c>
      <c r="E27" s="558">
        <f t="shared" si="0"/>
        <v>45992</v>
      </c>
      <c r="F27" s="574" t="str">
        <f>IF(DATA!H11&gt;0,DATA!H11,"")</f>
        <v/>
      </c>
      <c r="G27" s="231"/>
      <c r="H27" s="231"/>
      <c r="I27" s="230"/>
      <c r="J27" s="229"/>
    </row>
    <row r="28" spans="2:10" ht="17.100000000000001" customHeight="1" x14ac:dyDescent="0.2">
      <c r="B28" s="232">
        <v>10</v>
      </c>
      <c r="C28" s="1398" t="s">
        <v>384</v>
      </c>
      <c r="D28" s="558">
        <f>'ANNEXURE I'!B14</f>
        <v>45992</v>
      </c>
      <c r="E28" s="558">
        <f t="shared" si="0"/>
        <v>46023</v>
      </c>
      <c r="F28" s="574" t="str">
        <f>IF(DATA!H12&gt;0,DATA!H12,"")</f>
        <v/>
      </c>
      <c r="G28" s="231"/>
      <c r="H28" s="231"/>
      <c r="I28" s="230"/>
      <c r="J28" s="229"/>
    </row>
    <row r="29" spans="2:10" ht="17.100000000000001" customHeight="1" x14ac:dyDescent="0.2">
      <c r="B29" s="232">
        <v>11</v>
      </c>
      <c r="C29" s="1399"/>
      <c r="D29" s="558">
        <f>'ANNEXURE I'!B15</f>
        <v>46023</v>
      </c>
      <c r="E29" s="558">
        <f t="shared" si="0"/>
        <v>46054</v>
      </c>
      <c r="F29" s="574" t="str">
        <f>IF(DATA!H13&gt;0,DATA!H13,"")</f>
        <v/>
      </c>
      <c r="G29" s="231"/>
      <c r="H29" s="231"/>
      <c r="I29" s="230"/>
      <c r="J29" s="229"/>
    </row>
    <row r="30" spans="2:10" ht="17.100000000000001" customHeight="1" x14ac:dyDescent="0.2">
      <c r="B30" s="963">
        <v>12</v>
      </c>
      <c r="C30" s="1400"/>
      <c r="D30" s="558">
        <f>'ANNEXURE I'!B16</f>
        <v>46054</v>
      </c>
      <c r="E30" s="558">
        <f>E29+32</f>
        <v>46086</v>
      </c>
      <c r="F30" s="574">
        <f>MAX(0,J10-SUM(F19:F29))</f>
        <v>0</v>
      </c>
      <c r="G30" s="231"/>
      <c r="H30" s="231"/>
      <c r="I30" s="230"/>
      <c r="J30" s="229"/>
    </row>
    <row r="31" spans="2:10" ht="17.100000000000001" customHeight="1" x14ac:dyDescent="0.2">
      <c r="B31" s="575"/>
      <c r="C31" s="576" t="str">
        <f>IF(SUM(C19:C30)&lt;=0,"",SUM(C19:C30))</f>
        <v/>
      </c>
      <c r="D31" s="1401" t="s">
        <v>385</v>
      </c>
      <c r="E31" s="1402"/>
      <c r="F31" s="577" t="str">
        <f>IF(SUM(F19:F30)&lt;=0,"",SUM(F19:F30))</f>
        <v/>
      </c>
      <c r="G31" s="578"/>
      <c r="H31" s="578"/>
      <c r="I31" s="578"/>
      <c r="J31" s="579"/>
    </row>
    <row r="32" spans="2:10" ht="17.100000000000001" customHeight="1" x14ac:dyDescent="0.2">
      <c r="B32" s="263"/>
      <c r="C32" s="259">
        <f>'ANNEXURE II'!T71</f>
        <v>0</v>
      </c>
      <c r="D32" s="252" t="str">
        <f>'ANNEXURE II'!V70</f>
        <v xml:space="preserve"> Zero Rupees</v>
      </c>
      <c r="E32" s="260"/>
      <c r="F32" s="261"/>
      <c r="G32" s="260"/>
      <c r="H32" s="260"/>
      <c r="I32" s="260"/>
      <c r="J32" s="262"/>
    </row>
    <row r="33" spans="2:10" ht="18" customHeight="1" x14ac:dyDescent="0.2">
      <c r="B33" s="1389" t="s">
        <v>386</v>
      </c>
      <c r="C33" s="1390"/>
      <c r="D33" s="1390"/>
      <c r="E33" s="1390"/>
      <c r="F33" s="1390"/>
      <c r="G33" s="1390"/>
      <c r="H33" s="1390"/>
      <c r="I33" s="1390"/>
      <c r="J33" s="1391"/>
    </row>
    <row r="34" spans="2:10" ht="17.45" customHeight="1" x14ac:dyDescent="0.2">
      <c r="B34" s="228"/>
      <c r="C34" s="1392" t="str">
        <f>CONCATENATE("         I ",DATA!G29," ",UPPER(DATA!H29),"  working in the capacity of  ",UPPER(DATA!H30)," do hereby certify  that the  sum of Rs./-  ",J8," (",'ANNEXURE II'!V70,") has been deducted at source and  paid  to  the credit of the central Government.        I further certify that the Information  given above is true, complete and correct based on the books of account , documents and other available records.")</f>
        <v xml:space="preserve">         I Sri. G.SOMA SEKHAR  working in the capacity of  MANDAL EDUCATIONAL OFFICER do hereby certify  that the  sum of Rs./-  0 ( Zero Rupees) has been deducted at source and  paid  to  the credit of the central Government.        I further certify that the Information  given above is true, complete and correct based on the books of account , documents and other available records.</v>
      </c>
      <c r="D34" s="1392"/>
      <c r="E34" s="1392"/>
      <c r="F34" s="1392"/>
      <c r="G34" s="1392"/>
      <c r="H34" s="1392"/>
      <c r="I34" s="1392"/>
      <c r="J34" s="1393"/>
    </row>
    <row r="35" spans="2:10" ht="17.45" customHeight="1" x14ac:dyDescent="0.2">
      <c r="B35" s="227"/>
      <c r="C35" s="1392"/>
      <c r="D35" s="1392"/>
      <c r="E35" s="1392"/>
      <c r="F35" s="1392"/>
      <c r="G35" s="1392"/>
      <c r="H35" s="1392"/>
      <c r="I35" s="1392"/>
      <c r="J35" s="1393"/>
    </row>
    <row r="36" spans="2:10" ht="17.45" customHeight="1" x14ac:dyDescent="0.2">
      <c r="B36" s="227"/>
      <c r="C36" s="1392"/>
      <c r="D36" s="1392"/>
      <c r="E36" s="1392"/>
      <c r="F36" s="1392"/>
      <c r="G36" s="1392"/>
      <c r="H36" s="1392"/>
      <c r="I36" s="1392"/>
      <c r="J36" s="1393"/>
    </row>
    <row r="37" spans="2:10" ht="17.45" customHeight="1" x14ac:dyDescent="0.2">
      <c r="B37" s="227"/>
      <c r="C37" s="1392"/>
      <c r="D37" s="1392"/>
      <c r="E37" s="1392"/>
      <c r="F37" s="1392"/>
      <c r="G37" s="1392"/>
      <c r="H37" s="1392"/>
      <c r="I37" s="1392"/>
      <c r="J37" s="1393"/>
    </row>
    <row r="38" spans="2:10" ht="17.45" customHeight="1" x14ac:dyDescent="0.2">
      <c r="B38" s="226" t="s">
        <v>387</v>
      </c>
      <c r="C38" s="1392"/>
      <c r="D38" s="1392"/>
      <c r="E38" s="1392"/>
      <c r="F38" s="1392"/>
      <c r="G38" s="1392"/>
      <c r="H38" s="1392"/>
      <c r="I38" s="1392"/>
      <c r="J38" s="1393"/>
    </row>
    <row r="39" spans="2:10" ht="17.45" customHeight="1" x14ac:dyDescent="0.2">
      <c r="B39" s="226" t="s">
        <v>388</v>
      </c>
      <c r="C39" s="1392"/>
      <c r="D39" s="1392"/>
      <c r="E39" s="1392"/>
      <c r="F39" s="1392"/>
      <c r="G39" s="1392"/>
      <c r="H39" s="1392"/>
      <c r="I39" s="1392"/>
      <c r="J39" s="1393"/>
    </row>
    <row r="40" spans="2:10" ht="17.45" customHeight="1" x14ac:dyDescent="0.2">
      <c r="B40" s="226"/>
      <c r="C40" s="1392"/>
      <c r="D40" s="1392"/>
      <c r="E40" s="1392"/>
      <c r="F40" s="1392"/>
      <c r="G40" s="1392"/>
      <c r="H40" s="1392"/>
      <c r="I40" s="1392"/>
      <c r="J40" s="1393"/>
    </row>
    <row r="41" spans="2:10" ht="60" customHeight="1" x14ac:dyDescent="0.2">
      <c r="B41" s="225"/>
      <c r="C41" s="224"/>
      <c r="D41" s="224"/>
      <c r="E41" s="224"/>
      <c r="F41" s="223"/>
      <c r="G41" s="222"/>
      <c r="H41" s="222"/>
      <c r="I41" s="222"/>
      <c r="J41" s="221"/>
    </row>
    <row r="42" spans="2:10" ht="15" customHeight="1" x14ac:dyDescent="0.2">
      <c r="B42" s="220"/>
      <c r="C42" s="216" t="s">
        <v>389</v>
      </c>
      <c r="D42" s="1385" t="str">
        <f>UPPER(DATA!H34)</f>
        <v>BETHAMCHERLA</v>
      </c>
      <c r="E42" s="1385"/>
      <c r="F42" s="1394" t="s">
        <v>390</v>
      </c>
      <c r="G42" s="1394"/>
      <c r="H42" s="1394"/>
      <c r="I42" s="1394"/>
      <c r="J42" s="1395"/>
    </row>
    <row r="43" spans="2:10" ht="15" customHeight="1" x14ac:dyDescent="0.2">
      <c r="B43" s="220"/>
      <c r="C43" s="216" t="s">
        <v>391</v>
      </c>
      <c r="D43" s="1384">
        <f ca="1">TODAY()</f>
        <v>45977</v>
      </c>
      <c r="E43" s="1384"/>
      <c r="F43" s="217"/>
      <c r="G43" s="216" t="s">
        <v>392</v>
      </c>
      <c r="H43" s="1385" t="str">
        <f>FORM16_FRONT!B6</f>
        <v>Sri. G.SOMA SEKHAR</v>
      </c>
      <c r="I43" s="1385"/>
      <c r="J43" s="1386"/>
    </row>
    <row r="44" spans="2:10" ht="15" customHeight="1" x14ac:dyDescent="0.2">
      <c r="B44" s="215"/>
      <c r="C44" s="214"/>
      <c r="D44" s="219"/>
      <c r="E44" s="218"/>
      <c r="F44" s="217"/>
      <c r="G44" s="216" t="s">
        <v>393</v>
      </c>
      <c r="H44" s="1387" t="str">
        <f>FORM16_FRONT!B7</f>
        <v>MANDAL EDUCATIONAL OFFICER</v>
      </c>
      <c r="I44" s="1387"/>
      <c r="J44" s="1388"/>
    </row>
    <row r="45" spans="2:10" ht="15" customHeight="1" x14ac:dyDescent="0.2">
      <c r="B45" s="215"/>
      <c r="C45" s="214"/>
      <c r="D45" s="214"/>
      <c r="E45" s="214"/>
      <c r="F45" s="217"/>
      <c r="G45" s="216" t="s">
        <v>143</v>
      </c>
      <c r="H45" s="1387" t="str">
        <f>FORM16_FRONT!B8</f>
        <v>MANDAL RESOURCE CENTER - BETHAMCHERLA</v>
      </c>
      <c r="I45" s="1387"/>
      <c r="J45" s="1388"/>
    </row>
    <row r="46" spans="2:10" ht="15" customHeight="1" x14ac:dyDescent="0.2">
      <c r="B46" s="215"/>
      <c r="C46" s="214"/>
      <c r="D46" s="214"/>
      <c r="E46" s="214"/>
      <c r="F46" s="217"/>
      <c r="G46" s="216" t="s">
        <v>394</v>
      </c>
      <c r="H46" s="1387" t="str">
        <f>UPPER(DATA!H35)</f>
        <v>BETHAMCHERLA</v>
      </c>
      <c r="I46" s="1387"/>
      <c r="J46" s="1388"/>
    </row>
    <row r="47" spans="2:10" ht="15" customHeight="1" x14ac:dyDescent="0.2">
      <c r="B47" s="215"/>
      <c r="C47" s="214"/>
      <c r="D47" s="214"/>
      <c r="E47" s="214"/>
      <c r="F47" s="217"/>
      <c r="G47" s="216" t="s">
        <v>395</v>
      </c>
      <c r="H47" s="1387" t="str">
        <f>UPPER(DATA!H36)&amp;" (Dt.)"</f>
        <v>NANDYAL (Dt.)</v>
      </c>
      <c r="I47" s="1387"/>
      <c r="J47" s="1388"/>
    </row>
    <row r="48" spans="2:10" ht="12" customHeight="1" thickBot="1" x14ac:dyDescent="0.25">
      <c r="B48" s="215"/>
      <c r="C48" s="214"/>
      <c r="D48" s="214"/>
      <c r="E48" s="214"/>
      <c r="G48" s="213"/>
      <c r="H48" s="212"/>
      <c r="I48" s="212"/>
      <c r="J48" s="211"/>
    </row>
    <row r="49" spans="2:10" x14ac:dyDescent="0.2">
      <c r="B49" s="210" t="s">
        <v>396</v>
      </c>
      <c r="C49" s="1396" t="s">
        <v>397</v>
      </c>
      <c r="D49" s="1396"/>
      <c r="E49" s="1396"/>
      <c r="F49" s="1396"/>
      <c r="G49" s="1396"/>
      <c r="H49" s="1396"/>
      <c r="I49" s="1396"/>
      <c r="J49" s="1397"/>
    </row>
    <row r="50" spans="2:10" ht="15.75" thickBot="1" x14ac:dyDescent="0.25">
      <c r="B50" s="209" t="s">
        <v>398</v>
      </c>
      <c r="C50" s="1381" t="s">
        <v>399</v>
      </c>
      <c r="D50" s="1381"/>
      <c r="E50" s="1381"/>
      <c r="F50" s="1381"/>
      <c r="G50" s="1381"/>
      <c r="H50" s="1381"/>
      <c r="I50" s="1381"/>
      <c r="J50" s="1382"/>
    </row>
    <row r="51" spans="2:10" ht="15.75" thickTop="1" x14ac:dyDescent="0.2">
      <c r="B51" s="1383" t="s">
        <v>179</v>
      </c>
      <c r="C51" s="1383"/>
      <c r="D51" s="1383"/>
      <c r="E51" s="1383"/>
      <c r="F51" s="1383"/>
      <c r="G51" s="1383"/>
      <c r="H51" s="1383"/>
      <c r="I51" s="1383"/>
      <c r="J51" s="1383"/>
    </row>
  </sheetData>
  <sheetProtection algorithmName="SHA-512" hashValue="Dbo2MJ15ZQN1zLkcQZ1WgAVRwKSIwP1cGpot3oO46EOAGfyaoWl8G5SVfBuRCcG56tmqF6Kqb12dOq5Ip26hUA==" saltValue="PyN/OUJwaieZgg7v2MrYEA==" spinCount="100000" sheet="1" objects="1" scenarios="1" selectLockedCells="1" selectUnlockedCells="1"/>
  <protectedRanges>
    <protectedRange sqref="J4" name="Range5"/>
    <protectedRange sqref="D42:E43" name="Range3"/>
    <protectedRange sqref="F19:F31 C32 G19:I32 J19:J31 C19:D31 E19:E32" name="Range1"/>
    <protectedRange sqref="F36 B35 H35:J36 D35:F35 G36:G37 B36:D37" name="Range2"/>
    <protectedRange sqref="D42:D43" name="Range4"/>
  </protectedRanges>
  <mergeCells count="39">
    <mergeCell ref="C5:E5"/>
    <mergeCell ref="E3:F3"/>
    <mergeCell ref="G3:H3"/>
    <mergeCell ref="C8:E8"/>
    <mergeCell ref="C12:H12"/>
    <mergeCell ref="C13:D13"/>
    <mergeCell ref="G13:H13"/>
    <mergeCell ref="E13:F13"/>
    <mergeCell ref="C10:F10"/>
    <mergeCell ref="G11:H11"/>
    <mergeCell ref="B14:J14"/>
    <mergeCell ref="B15:J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C19:C21"/>
    <mergeCell ref="C22:C24"/>
    <mergeCell ref="C25:C27"/>
    <mergeCell ref="C28:C30"/>
    <mergeCell ref="D31:E31"/>
    <mergeCell ref="B33:J33"/>
    <mergeCell ref="C34:J40"/>
    <mergeCell ref="D42:E42"/>
    <mergeCell ref="F42:J42"/>
    <mergeCell ref="C49:J49"/>
    <mergeCell ref="C50:J50"/>
    <mergeCell ref="B51:J51"/>
    <mergeCell ref="D43:E43"/>
    <mergeCell ref="H43:J43"/>
    <mergeCell ref="H44:J44"/>
    <mergeCell ref="H45:J45"/>
    <mergeCell ref="H46:J46"/>
    <mergeCell ref="H47:J47"/>
  </mergeCells>
  <conditionalFormatting sqref="E13:F13">
    <cfRule type="expression" dxfId="19" priority="1">
      <formula>$J$13&lt;0</formula>
    </cfRule>
  </conditionalFormatting>
  <conditionalFormatting sqref="I2:J13">
    <cfRule type="cellIs" dxfId="18" priority="3" operator="equal">
      <formula>0</formula>
    </cfRule>
  </conditionalFormatting>
  <conditionalFormatting sqref="J13">
    <cfRule type="cellIs" dxfId="17" priority="2" operator="lessThan">
      <formula>0</formula>
    </cfRule>
  </conditionalFormatting>
  <printOptions horizontalCentered="1" verticalCentered="1"/>
  <pageMargins left="0.23622047244094491" right="0.23622047244094491" top="0.23622047244094491" bottom="0.23622047244094491" header="0.15748031496062992" footer="0.15748031496062992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B1:F30"/>
  <sheetViews>
    <sheetView showGridLines="0" showRowColHeaders="0" showWhiteSpace="0" zoomScaleNormal="100" workbookViewId="0">
      <pane xSplit="1" ySplit="4" topLeftCell="B5" activePane="bottomRight" state="frozen"/>
      <selection pane="bottomLeft" activeCell="C3" sqref="C3:Y3"/>
      <selection pane="topRight" activeCell="C3" sqref="C3:Y3"/>
      <selection pane="bottomRight" activeCell="B30" sqref="B30:F30"/>
    </sheetView>
  </sheetViews>
  <sheetFormatPr defaultColWidth="9.14453125" defaultRowHeight="15" x14ac:dyDescent="0.2"/>
  <cols>
    <col min="1" max="1" width="1.34375" style="169" customWidth="1" collapsed="1"/>
    <col min="2" max="2" width="2.6875" style="169" customWidth="1" collapsed="1"/>
    <col min="3" max="3" width="31.74609375" style="169" customWidth="1" collapsed="1"/>
    <col min="4" max="4" width="14.66015625" style="169" customWidth="1" collapsed="1"/>
    <col min="5" max="5" width="38.7421875" style="169" customWidth="1" collapsed="1"/>
    <col min="6" max="6" width="2.6875" style="169" customWidth="1" collapsed="1"/>
    <col min="7" max="16384" width="9.14453125" style="169" collapsed="1"/>
  </cols>
  <sheetData>
    <row r="1" spans="2:6" ht="5.0999999999999996" customHeight="1" thickBot="1" x14ac:dyDescent="0.25">
      <c r="D1" s="266" t="s">
        <v>400</v>
      </c>
    </row>
    <row r="2" spans="2:6" ht="18" customHeight="1" thickTop="1" x14ac:dyDescent="0.2">
      <c r="B2" s="1446" t="str">
        <f>IF('ANNEXURE I'!$B$2="NEW","Rent receipt will not be generated in the New Tax Regime","RECEIPT OF HOUSE RENT")</f>
        <v>Rent receipt will not be generated in the New Tax Regime</v>
      </c>
      <c r="C2" s="1447"/>
      <c r="D2" s="1447"/>
      <c r="E2" s="1447"/>
      <c r="F2" s="1448"/>
    </row>
    <row r="3" spans="2:6" ht="18" customHeight="1" x14ac:dyDescent="0.2">
      <c r="B3" s="1449"/>
      <c r="C3" s="1450"/>
      <c r="D3" s="1450"/>
      <c r="E3" s="1450"/>
      <c r="F3" s="1451"/>
    </row>
    <row r="4" spans="2:6" ht="20.100000000000001" customHeight="1" x14ac:dyDescent="0.2">
      <c r="B4" s="1452" t="s">
        <v>401</v>
      </c>
      <c r="C4" s="1453"/>
      <c r="D4" s="1453"/>
      <c r="E4" s="1453"/>
      <c r="F4" s="1454"/>
    </row>
    <row r="5" spans="2:6" ht="20.100000000000001" customHeight="1" x14ac:dyDescent="0.2">
      <c r="B5" s="267"/>
      <c r="C5" s="1455" t="str">
        <f>CONCATENATE("           Received a sum of ( ",DATA!E18," Month House Rent Amount ) "," Rs. ",'ANNEXURE II'!X3," (",'ANNEXURE II'!Z3,")"," from : ",DATA!G17," ",UPPER(DATA!H17)," (Tenant) working as ",UPPER(DATA!H18)," , at  ",UPPER(DATA!H21)," - ",UPPER(DATA!H22)," Village towards the rent @ Rs. ",DATA!E17," per month during the financial year : 2024-2025 (AY : 2025-26)  in respect of ...... CASH / CHEQUE / MONEY TRANSFER / UPI PAYMENTS / OTHERS.    (Strikeout which is not applicable to you.)")</f>
        <v xml:space="preserve">           Received a sum of ( 12 Month House Rent Amount )  Rs. 99600 (Ninety Nine Thousand Six Hundred Rupees ) from : Sri.   PERUMALLA RAMANJANEYULU (Tenant) working as SECONDARY GRADE TEACHER , at  Z.P.HIGH SCHOOL - RAHIMANPURAM Village towards the rent @ Rs. 8300 per month during the financial year : 2024-2025 (AY : 2025-26)  in respect of ...... CASH / CHEQUE / MONEY TRANSFER / UPI PAYMENTS / OTHERS.    (Strikeout which is not applicable to you.)</v>
      </c>
      <c r="D5" s="1455"/>
      <c r="E5" s="1455"/>
      <c r="F5" s="268"/>
    </row>
    <row r="6" spans="2:6" ht="27" customHeight="1" x14ac:dyDescent="0.2">
      <c r="B6" s="267"/>
      <c r="C6" s="1455"/>
      <c r="D6" s="1455"/>
      <c r="E6" s="1455"/>
      <c r="F6" s="268"/>
    </row>
    <row r="7" spans="2:6" ht="27" customHeight="1" x14ac:dyDescent="0.2">
      <c r="B7" s="267"/>
      <c r="C7" s="1455"/>
      <c r="D7" s="1455"/>
      <c r="E7" s="1455"/>
      <c r="F7" s="268"/>
    </row>
    <row r="8" spans="2:6" ht="27" customHeight="1" x14ac:dyDescent="0.2">
      <c r="B8" s="267"/>
      <c r="C8" s="1455"/>
      <c r="D8" s="1455"/>
      <c r="E8" s="1455"/>
      <c r="F8" s="268"/>
    </row>
    <row r="9" spans="2:6" ht="27" customHeight="1" x14ac:dyDescent="0.2">
      <c r="B9" s="267"/>
      <c r="C9" s="1455"/>
      <c r="D9" s="1455"/>
      <c r="E9" s="1455"/>
      <c r="F9" s="268"/>
    </row>
    <row r="10" spans="2:6" ht="27" customHeight="1" x14ac:dyDescent="0.2">
      <c r="B10" s="267"/>
      <c r="C10" s="1455"/>
      <c r="D10" s="1455"/>
      <c r="E10" s="1455"/>
      <c r="F10" s="268"/>
    </row>
    <row r="11" spans="2:6" ht="15.95" customHeight="1" x14ac:dyDescent="0.2">
      <c r="B11" s="269"/>
      <c r="C11" s="1456" t="s">
        <v>402</v>
      </c>
      <c r="D11" s="1456"/>
      <c r="E11" s="1457" t="str">
        <f>IF(DATA!E17&gt;=8333,CONCATENATE("PAN OF OWNER  : ",DATA!H45),"")</f>
        <v/>
      </c>
      <c r="F11" s="1458"/>
    </row>
    <row r="12" spans="2:6" ht="15.95" customHeight="1" x14ac:dyDescent="0.2">
      <c r="B12" s="269"/>
      <c r="C12" s="1456"/>
      <c r="D12" s="1456"/>
      <c r="E12" s="1457"/>
      <c r="F12" s="1458"/>
    </row>
    <row r="13" spans="2:6" ht="15.95" customHeight="1" x14ac:dyDescent="0.2">
      <c r="B13" s="269"/>
      <c r="C13" s="1385" t="str">
        <f>DATA!G17&amp;" "&amp;UPPER(DATA!H17)</f>
        <v>Sri.   PERUMALLA RAMANJANEYULU</v>
      </c>
      <c r="D13" s="1385"/>
      <c r="E13" s="192"/>
      <c r="F13" s="270"/>
    </row>
    <row r="14" spans="2:6" ht="15.95" customHeight="1" x14ac:dyDescent="0.2">
      <c r="B14" s="269"/>
      <c r="C14" s="1385" t="str">
        <f>IF(DATA!H39="","_________________________ (Owner's Name)","C/o. : "&amp;DATA!G39&amp;UPPER(DATA!H39))</f>
        <v>_________________________ (Owner's Name)</v>
      </c>
      <c r="D14" s="1385"/>
      <c r="E14" s="192"/>
      <c r="F14" s="270"/>
    </row>
    <row r="15" spans="2:6" ht="15.95" customHeight="1" x14ac:dyDescent="0.2">
      <c r="B15" s="269"/>
      <c r="C15" s="1385" t="str">
        <f>IF(DATA!H40="","_________________________ (House No.)","House No.  :    "&amp;UPPER(DATA!H40))</f>
        <v>_________________________ (House No.)</v>
      </c>
      <c r="D15" s="1385"/>
      <c r="E15" s="194"/>
      <c r="F15" s="270"/>
    </row>
    <row r="16" spans="2:6" ht="15.95" customHeight="1" x14ac:dyDescent="0.2">
      <c r="B16" s="269"/>
      <c r="C16" s="1385" t="str">
        <f>IF(DATA!H41="","_________________________ (Street)",UPPER(DATA!H41))</f>
        <v>_________________________ (Street)</v>
      </c>
      <c r="D16" s="1385"/>
      <c r="E16" s="271"/>
      <c r="F16" s="270"/>
    </row>
    <row r="17" spans="2:6" ht="15.95" customHeight="1" x14ac:dyDescent="0.2">
      <c r="B17" s="269"/>
      <c r="C17" s="1385" t="str">
        <f>IF(DATA!H42="","_________________________ (Village)",UPPER(DATA!H42)&amp;"  Village")</f>
        <v>_________________________ (Village)</v>
      </c>
      <c r="D17" s="1385"/>
      <c r="E17" s="194"/>
      <c r="F17" s="270"/>
    </row>
    <row r="18" spans="2:6" ht="15.95" customHeight="1" x14ac:dyDescent="0.2">
      <c r="B18" s="269"/>
      <c r="C18" s="1385" t="str">
        <f>IF(DATA!H43="","_________________________ (Mandal)",UPPER(DATA!H43)&amp;"  Mandal")</f>
        <v>_________________________ (Mandal)</v>
      </c>
      <c r="D18" s="1385"/>
      <c r="E18" s="272"/>
      <c r="F18" s="270"/>
    </row>
    <row r="19" spans="2:6" ht="15" customHeight="1" x14ac:dyDescent="0.2">
      <c r="B19" s="269"/>
      <c r="C19" s="1385" t="str">
        <f>IF(DATA!H44="","_________________________ (District)",UPPER(DATA!H44)&amp;"  District")</f>
        <v>_________________________ (District)</v>
      </c>
      <c r="D19" s="1385"/>
      <c r="E19" s="194"/>
      <c r="F19" s="270"/>
    </row>
    <row r="20" spans="2:6" ht="15" customHeight="1" x14ac:dyDescent="0.2">
      <c r="B20" s="269"/>
      <c r="C20" s="273"/>
      <c r="D20" s="273"/>
      <c r="E20" s="273"/>
      <c r="F20" s="274"/>
    </row>
    <row r="21" spans="2:6" ht="15" customHeight="1" x14ac:dyDescent="0.2">
      <c r="B21" s="269"/>
      <c r="C21" s="273"/>
      <c r="D21" s="273"/>
      <c r="E21" s="273"/>
      <c r="F21" s="274"/>
    </row>
    <row r="22" spans="2:6" ht="15" customHeight="1" x14ac:dyDescent="0.2">
      <c r="B22" s="269"/>
      <c r="C22" s="1445" t="s">
        <v>403</v>
      </c>
      <c r="D22" s="1445"/>
      <c r="E22" s="1438" t="s">
        <v>404</v>
      </c>
      <c r="F22" s="1439"/>
    </row>
    <row r="23" spans="2:6" ht="15" customHeight="1" x14ac:dyDescent="0.2">
      <c r="B23" s="269"/>
      <c r="C23" s="1440" t="s">
        <v>405</v>
      </c>
      <c r="D23" s="1440"/>
      <c r="E23" s="1440" t="s">
        <v>406</v>
      </c>
      <c r="F23" s="1441"/>
    </row>
    <row r="24" spans="2:6" ht="15" customHeight="1" x14ac:dyDescent="0.2">
      <c r="B24" s="275"/>
      <c r="C24" s="1394" t="str">
        <f>CONCATENATE("( NAME  :  ",UPPER(DATA!H17)," )")</f>
        <v>( NAME  :  PERUMALLA RAMANJANEYULU )</v>
      </c>
      <c r="D24" s="1394"/>
      <c r="E24" s="1442" t="str">
        <f>IF(DATA!H39="","_________________________ (Owner's Name)",CONCATENATE("( NAME  :  ",DATA!G39&amp;UPPER(DATA!H39)," )"))</f>
        <v>_________________________ (Owner's Name)</v>
      </c>
      <c r="F24" s="1443"/>
    </row>
    <row r="25" spans="2:6" ht="15" customHeight="1" x14ac:dyDescent="0.2">
      <c r="B25" s="276"/>
      <c r="C25" s="277"/>
      <c r="D25" s="277"/>
      <c r="E25" s="277"/>
      <c r="F25" s="278"/>
    </row>
    <row r="26" spans="2:6" ht="15" customHeight="1" x14ac:dyDescent="0.2">
      <c r="B26" s="269"/>
      <c r="C26" s="279"/>
      <c r="D26" s="273"/>
      <c r="E26" s="279"/>
      <c r="F26" s="274"/>
    </row>
    <row r="27" spans="2:6" ht="15" customHeight="1" x14ac:dyDescent="0.2">
      <c r="B27" s="269"/>
      <c r="C27" s="1444" t="s">
        <v>407</v>
      </c>
      <c r="D27" s="1440"/>
      <c r="E27" s="1440"/>
      <c r="F27" s="274"/>
    </row>
    <row r="28" spans="2:6" ht="15" customHeight="1" x14ac:dyDescent="0.2">
      <c r="B28" s="269"/>
      <c r="C28" s="1437" t="str">
        <f>IF(AND(DATA!E17&lt;=3000),("YOU NEED NOT SUBMIT RENT RECEIPT FOR THIS RENT"),  IF(AND(DATA!E17&gt;3000,DATA!E17&lt;=8333),("YOU SHOULD SUBMIT RENT RECEIPT WITHOUT PAN OF HOUSE OWNER"),  IF(AND(DATA!E17&gt;8333),("YOU SHOULD SUBMIT RENT RECEIPT WITH PAN OF HOUSE OWNER"))))</f>
        <v>YOU SHOULD SUBMIT RENT RECEIPT WITHOUT PAN OF HOUSE OWNER</v>
      </c>
      <c r="D28" s="1437"/>
      <c r="E28" s="1437"/>
      <c r="F28" s="274"/>
    </row>
    <row r="29" spans="2:6" ht="16.5" customHeight="1" thickBot="1" x14ac:dyDescent="0.25">
      <c r="B29" s="280"/>
      <c r="C29" s="281"/>
      <c r="D29" s="281"/>
      <c r="E29" s="281"/>
      <c r="F29" s="282"/>
    </row>
    <row r="30" spans="2:6" ht="15.75" thickTop="1" x14ac:dyDescent="0.2">
      <c r="B30" s="1302" t="s">
        <v>179</v>
      </c>
      <c r="C30" s="1302"/>
      <c r="D30" s="1302"/>
      <c r="E30" s="1302"/>
      <c r="F30" s="1302"/>
    </row>
  </sheetData>
  <sheetProtection algorithmName="SHA-512" hashValue="he5m9lhnfN4K+ZppTXkJk8tG22O/8vUIXqCTFOOBitE37MLPjDmUm4K3y9ShoI9pNxZNtPaBAWYexekGRdZ5bA==" saltValue="oo28wUbYvp27zfCY0TVvQw==" spinCount="100000" sheet="1" objects="1" scenarios="1" selectLockedCells="1" selectUnlockedCells="1"/>
  <mergeCells count="21">
    <mergeCell ref="C13:D13"/>
    <mergeCell ref="B2:F3"/>
    <mergeCell ref="B4:F4"/>
    <mergeCell ref="C5:E10"/>
    <mergeCell ref="C11:D12"/>
    <mergeCell ref="E11:F12"/>
    <mergeCell ref="C14:D14"/>
    <mergeCell ref="C15:D15"/>
    <mergeCell ref="C16:D16"/>
    <mergeCell ref="C17:D17"/>
    <mergeCell ref="C18:D18"/>
    <mergeCell ref="C28:E28"/>
    <mergeCell ref="B30:F30"/>
    <mergeCell ref="C19:D19"/>
    <mergeCell ref="E22:F22"/>
    <mergeCell ref="C23:D23"/>
    <mergeCell ref="E23:F23"/>
    <mergeCell ref="C24:D24"/>
    <mergeCell ref="E24:F24"/>
    <mergeCell ref="C27:E27"/>
    <mergeCell ref="C22:D22"/>
  </mergeCells>
  <printOptions horizontalCentered="1"/>
  <pageMargins left="0.25" right="0.25" top="0.75" bottom="0.75" header="0.3" footer="0.3"/>
  <pageSetup paperSize="9" scale="98" orientation="portrait" r:id="rId1"/>
  <headerFooter>
    <oddFooter>&amp;CScience and Technology ,revolutionize our lives ,butmemory , tradition and myth frame our responce.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39CE454-BBB0-473D-AF0D-9DB59DEEBC1E}">
            <xm:f>'ANNEXURE I'!$B$2="NEW"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B4:F29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00FF"/>
    <pageSetUpPr fitToPage="1"/>
  </sheetPr>
  <dimension ref="A1:G60"/>
  <sheetViews>
    <sheetView showGridLines="0" showRowColHeaders="0" zoomScaleSheetLayoutView="100" workbookViewId="0">
      <pane xSplit="1" ySplit="8" topLeftCell="B9" activePane="bottomRight" state="frozen"/>
      <selection pane="bottomLeft" activeCell="C26" sqref="C26:AA26"/>
      <selection pane="topRight" activeCell="C26" sqref="C26:AA26"/>
      <selection pane="bottomRight" activeCell="B60" sqref="B60:G60"/>
    </sheetView>
  </sheetViews>
  <sheetFormatPr defaultRowHeight="15" x14ac:dyDescent="0.2"/>
  <cols>
    <col min="1" max="1" width="1.34375" customWidth="1" collapsed="1"/>
    <col min="2" max="2" width="5.6484375" customWidth="1" collapsed="1"/>
    <col min="3" max="3" width="4.70703125" customWidth="1" collapsed="1"/>
    <col min="4" max="4" width="9.28125" customWidth="1" collapsed="1"/>
    <col min="5" max="5" width="40.7578125" customWidth="1" collapsed="1"/>
    <col min="6" max="6" width="15.73828125" style="286" customWidth="1" collapsed="1"/>
    <col min="7" max="7" width="24.75" style="286" customWidth="1" collapsed="1"/>
  </cols>
  <sheetData>
    <row r="1" spans="2:7" ht="5.0999999999999996" customHeight="1" thickBot="1" x14ac:dyDescent="0.25"/>
    <row r="2" spans="2:7" ht="15.6" customHeight="1" thickTop="1" x14ac:dyDescent="0.2">
      <c r="B2" s="1459" t="str">
        <f>IF('ANNEXURE I'!$B$2="NEW","FORM NO.12BB is not necessary in the New Tax Regime","FORM NO.12BB")</f>
        <v>FORM NO.12BB is not necessary in the New Tax Regime</v>
      </c>
      <c r="C2" s="1460"/>
      <c r="D2" s="1460"/>
      <c r="E2" s="1460"/>
      <c r="F2" s="1460"/>
      <c r="G2" s="1461"/>
    </row>
    <row r="3" spans="2:7" ht="15.6" customHeight="1" x14ac:dyDescent="0.2">
      <c r="B3" s="1462" t="s">
        <v>408</v>
      </c>
      <c r="C3" s="1463"/>
      <c r="D3" s="1463"/>
      <c r="E3" s="1463"/>
      <c r="F3" s="1463"/>
      <c r="G3" s="1464"/>
    </row>
    <row r="4" spans="2:7" ht="15.6" customHeight="1" x14ac:dyDescent="0.2">
      <c r="B4" s="1465" t="s">
        <v>409</v>
      </c>
      <c r="C4" s="1466"/>
      <c r="D4" s="1466"/>
      <c r="E4" s="1466"/>
      <c r="F4" s="1466"/>
      <c r="G4" s="1467"/>
    </row>
    <row r="5" spans="2:7" ht="15.6" customHeight="1" x14ac:dyDescent="0.2">
      <c r="B5" s="1468" t="str">
        <f>CONCATENATE("1. Name &amp; address of the employee : ",UPPER(CONCATENATE(DATA!G17," ",DATA!H17," ; ",DATA!H21," ; ",DATA!H22)))</f>
        <v>1. Name &amp; address of the employee : SRI.   PERUMALLA RAMANJANEYULU ; Z.P.HIGH SCHOOL ; RAHIMANPURAM</v>
      </c>
      <c r="C5" s="1469"/>
      <c r="D5" s="1469"/>
      <c r="E5" s="1469"/>
      <c r="F5" s="1469"/>
      <c r="G5" s="1470"/>
    </row>
    <row r="6" spans="2:7" ht="15.6" customHeight="1" x14ac:dyDescent="0.2">
      <c r="B6" s="1468" t="str">
        <f>CONCATENATE("2. Permanent Account Number of the employee  :   ",UPPER(DATA!H20))</f>
        <v>2. Permanent Account Number of the employee  :   MYPAN1234S</v>
      </c>
      <c r="C6" s="1469"/>
      <c r="D6" s="1469"/>
      <c r="E6" s="1469"/>
      <c r="F6" s="1469"/>
      <c r="G6" s="1470"/>
    </row>
    <row r="7" spans="2:7" ht="15.6" customHeight="1" x14ac:dyDescent="0.2">
      <c r="B7" s="1468" t="str">
        <f>CONCATENATE("3. Treasury ID  of the employee  :         ",TEXT(DATA!H19,"0000000"))</f>
        <v>3. Treasury ID  of the employee  :         0123456</v>
      </c>
      <c r="C7" s="1469"/>
      <c r="D7" s="1469"/>
      <c r="E7" s="1469"/>
      <c r="F7" s="1469"/>
      <c r="G7" s="1470"/>
    </row>
    <row r="8" spans="2:7" ht="15.6" customHeight="1" x14ac:dyDescent="0.2">
      <c r="B8" s="1468" t="str">
        <f>CONCATENATE("4. Financial year  :      ","2025-2026")</f>
        <v>4. Financial year  :      2025-2026</v>
      </c>
      <c r="C8" s="1469"/>
      <c r="D8" s="1469"/>
      <c r="E8" s="1469"/>
      <c r="F8" s="1469"/>
      <c r="G8" s="1470"/>
    </row>
    <row r="9" spans="2:7" ht="20.100000000000001" customHeight="1" x14ac:dyDescent="0.2">
      <c r="B9" s="1471" t="s">
        <v>410</v>
      </c>
      <c r="C9" s="1472"/>
      <c r="D9" s="1472"/>
      <c r="E9" s="1472"/>
      <c r="F9" s="1472"/>
      <c r="G9" s="1473"/>
    </row>
    <row r="10" spans="2:7" ht="23.1" customHeight="1" x14ac:dyDescent="0.2">
      <c r="B10" s="320" t="s">
        <v>372</v>
      </c>
      <c r="C10" s="1474" t="s">
        <v>411</v>
      </c>
      <c r="D10" s="1475"/>
      <c r="E10" s="1476"/>
      <c r="F10" s="321" t="s">
        <v>412</v>
      </c>
      <c r="G10" s="322" t="s">
        <v>413</v>
      </c>
    </row>
    <row r="11" spans="2:7" ht="15.95" customHeight="1" x14ac:dyDescent="0.2">
      <c r="B11" s="319" t="s">
        <v>414</v>
      </c>
      <c r="C11" s="1477" t="s">
        <v>415</v>
      </c>
      <c r="D11" s="1478"/>
      <c r="E11" s="1479"/>
      <c r="F11" s="318" t="s">
        <v>416</v>
      </c>
      <c r="G11" s="317" t="s">
        <v>417</v>
      </c>
    </row>
    <row r="12" spans="2:7" ht="15.6" customHeight="1" x14ac:dyDescent="0.2">
      <c r="B12" s="316">
        <v>1</v>
      </c>
      <c r="C12" s="1480" t="s">
        <v>418</v>
      </c>
      <c r="D12" s="1481"/>
      <c r="E12" s="1482"/>
      <c r="F12" s="315"/>
      <c r="G12" s="848"/>
    </row>
    <row r="13" spans="2:7" ht="15.6" customHeight="1" x14ac:dyDescent="0.2">
      <c r="B13" s="291"/>
      <c r="C13" s="1483" t="str">
        <f>IF('ANNEXURE I'!$B$2="NEW","(i) Rent paid to the landlord       :        ","(i) Rent paid to the landlord       :        "&amp;'ANNEXURE II'!W3)</f>
        <v xml:space="preserve">(i) Rent paid to the landlord       :        </v>
      </c>
      <c r="D13" s="1484"/>
      <c r="E13" s="1485"/>
      <c r="F13" s="305">
        <f>'ANNEXURE II'!F9</f>
        <v>99600</v>
      </c>
      <c r="G13" s="314" t="str">
        <f>IF(F13&gt;0,"RECEIPT PRODUCED","")</f>
        <v>RECEIPT PRODUCED</v>
      </c>
    </row>
    <row r="14" spans="2:7" ht="15.6" customHeight="1" x14ac:dyDescent="0.2">
      <c r="B14" s="291"/>
      <c r="C14" s="1486" t="s">
        <v>419</v>
      </c>
      <c r="D14" s="1487"/>
      <c r="E14" s="1488"/>
      <c r="F14" s="1489" t="str">
        <f>DATA!G39&amp;UPPER(DATA!H39)</f>
        <v xml:space="preserve">Sri.  </v>
      </c>
      <c r="G14" s="1490"/>
    </row>
    <row r="15" spans="2:7" ht="15.6" customHeight="1" x14ac:dyDescent="0.2">
      <c r="B15" s="291"/>
      <c r="C15" s="313" t="str">
        <f>CONCATENATE("(iii) Address of the landlord       :   ",DATA!G40," ",DATA!H40," (",DATA!G41,") ",UPPER(DATA!H42)," (Vill.) ; ",UPPER(DATA!H43),"(Mdl.)")</f>
        <v>(iii) Address of the landlord       :   House No.  (STREET)  (Vill.) ; (Mdl.)</v>
      </c>
      <c r="D15" s="312"/>
      <c r="E15" s="311"/>
      <c r="F15" s="310"/>
      <c r="G15" s="309"/>
    </row>
    <row r="16" spans="2:7" ht="15.6" customHeight="1" x14ac:dyDescent="0.2">
      <c r="B16" s="304"/>
      <c r="C16" s="1491" t="s">
        <v>420</v>
      </c>
      <c r="D16" s="1492"/>
      <c r="E16" s="1493"/>
      <c r="F16" s="1494" t="str">
        <f>IF(DATA!E17&gt;=8333,UPPER(DATA!H45),"NOT APPLICABLE")</f>
        <v>NOT APPLICABLE</v>
      </c>
      <c r="G16" s="1495"/>
    </row>
    <row r="17" spans="2:7" ht="15.6" customHeight="1" x14ac:dyDescent="0.2">
      <c r="B17" s="308">
        <v>2</v>
      </c>
      <c r="C17" s="1496" t="s">
        <v>421</v>
      </c>
      <c r="D17" s="1497"/>
      <c r="E17" s="1498"/>
      <c r="F17" s="307"/>
      <c r="G17" s="306"/>
    </row>
    <row r="18" spans="2:7" ht="15.6" customHeight="1" x14ac:dyDescent="0.2">
      <c r="B18" s="291">
        <v>3</v>
      </c>
      <c r="C18" s="1499" t="s">
        <v>422</v>
      </c>
      <c r="D18" s="1500"/>
      <c r="E18" s="1501"/>
      <c r="F18" s="849"/>
      <c r="G18" s="848"/>
    </row>
    <row r="19" spans="2:7" ht="15.6" customHeight="1" x14ac:dyDescent="0.2">
      <c r="B19" s="291"/>
      <c r="C19" s="1502" t="s">
        <v>423</v>
      </c>
      <c r="D19" s="1503"/>
      <c r="E19" s="1504"/>
      <c r="F19" s="333">
        <v>0</v>
      </c>
      <c r="G19" s="302"/>
    </row>
    <row r="20" spans="2:7" ht="15.6" customHeight="1" x14ac:dyDescent="0.2">
      <c r="B20" s="291"/>
      <c r="C20" s="1502" t="s">
        <v>424</v>
      </c>
      <c r="D20" s="1503"/>
      <c r="E20" s="1504"/>
      <c r="F20" s="333"/>
      <c r="G20" s="302"/>
    </row>
    <row r="21" spans="2:7" ht="15.6" customHeight="1" x14ac:dyDescent="0.2">
      <c r="B21" s="291"/>
      <c r="C21" s="1502" t="s">
        <v>425</v>
      </c>
      <c r="D21" s="1503"/>
      <c r="E21" s="1504"/>
      <c r="F21" s="333"/>
      <c r="G21" s="302"/>
    </row>
    <row r="22" spans="2:7" ht="15.6" customHeight="1" x14ac:dyDescent="0.2">
      <c r="B22" s="291"/>
      <c r="C22" s="1502" t="s">
        <v>426</v>
      </c>
      <c r="D22" s="1503"/>
      <c r="E22" s="1504"/>
      <c r="F22" s="333"/>
      <c r="G22" s="302"/>
    </row>
    <row r="23" spans="2:7" ht="15.6" customHeight="1" x14ac:dyDescent="0.2">
      <c r="B23" s="291"/>
      <c r="C23" s="1502" t="s">
        <v>427</v>
      </c>
      <c r="D23" s="1503"/>
      <c r="E23" s="1504"/>
      <c r="F23" s="333"/>
      <c r="G23" s="302"/>
    </row>
    <row r="24" spans="2:7" ht="15.6" customHeight="1" x14ac:dyDescent="0.2">
      <c r="B24" s="291"/>
      <c r="C24" s="1502" t="s">
        <v>428</v>
      </c>
      <c r="D24" s="1503"/>
      <c r="E24" s="1504"/>
      <c r="F24" s="333"/>
      <c r="G24" s="302"/>
    </row>
    <row r="25" spans="2:7" ht="15.6" customHeight="1" x14ac:dyDescent="0.2">
      <c r="B25" s="304"/>
      <c r="C25" s="1491" t="s">
        <v>429</v>
      </c>
      <c r="D25" s="1492"/>
      <c r="E25" s="1493"/>
      <c r="F25" s="334"/>
      <c r="G25" s="303"/>
    </row>
    <row r="26" spans="2:7" ht="15.6" customHeight="1" x14ac:dyDescent="0.2">
      <c r="B26" s="291">
        <v>4</v>
      </c>
      <c r="C26" s="1509" t="s">
        <v>430</v>
      </c>
      <c r="D26" s="1510"/>
      <c r="E26" s="1511"/>
      <c r="F26" s="850"/>
      <c r="G26" s="851"/>
    </row>
    <row r="27" spans="2:7" ht="15.6" customHeight="1" x14ac:dyDescent="0.2">
      <c r="B27" s="291" t="s">
        <v>431</v>
      </c>
      <c r="C27" s="1512" t="s">
        <v>432</v>
      </c>
      <c r="D27" s="1513"/>
      <c r="E27" s="1514"/>
      <c r="F27" s="335"/>
      <c r="G27" s="302"/>
    </row>
    <row r="28" spans="2:7" ht="15.6" customHeight="1" x14ac:dyDescent="0.2">
      <c r="B28" s="291"/>
      <c r="C28" s="1515" t="s">
        <v>433</v>
      </c>
      <c r="D28" s="1516"/>
      <c r="E28" s="1517"/>
      <c r="F28" s="335"/>
      <c r="G28" s="302"/>
    </row>
    <row r="29" spans="2:7" ht="15.6" customHeight="1" x14ac:dyDescent="0.2">
      <c r="B29" s="291"/>
      <c r="C29" s="299" t="s">
        <v>365</v>
      </c>
      <c r="D29" s="300" t="s">
        <v>335</v>
      </c>
      <c r="E29" s="297" t="str">
        <f>'ANNEXURE II'!D28</f>
        <v>CPS       :   A/c No. :  9963535304</v>
      </c>
      <c r="F29" s="333">
        <f>'ANNEXURE II'!S28</f>
        <v>0</v>
      </c>
      <c r="G29" s="292" t="str">
        <f>IF(F29&gt;0,"SALARY DEDUCTION","")</f>
        <v/>
      </c>
    </row>
    <row r="30" spans="2:7" ht="15.6" customHeight="1" x14ac:dyDescent="0.2">
      <c r="B30" s="291"/>
      <c r="C30" s="299" t="s">
        <v>367</v>
      </c>
      <c r="D30" s="300" t="s">
        <v>335</v>
      </c>
      <c r="E30" s="297" t="str">
        <f>'ANNEXURE II'!D29</f>
        <v>A.P.G.L.I.  :   A/c No. :  L-123456</v>
      </c>
      <c r="F30" s="333">
        <f>'ANNEXURE II'!S29</f>
        <v>0</v>
      </c>
      <c r="G30" s="292" t="str">
        <f>IF(F30&gt;0,"SALARY DEDUCTION","")</f>
        <v/>
      </c>
    </row>
    <row r="31" spans="2:7" ht="15.6" customHeight="1" x14ac:dyDescent="0.2">
      <c r="B31" s="291"/>
      <c r="C31" s="299" t="s">
        <v>434</v>
      </c>
      <c r="D31" s="300" t="s">
        <v>335</v>
      </c>
      <c r="E31" s="297" t="str">
        <f>'ANNEXURE II'!D30</f>
        <v>G.I.S.    ( Group Insurance Scheme )</v>
      </c>
      <c r="F31" s="333">
        <f>'ANNEXURE II'!S30</f>
        <v>0</v>
      </c>
      <c r="G31" s="292" t="str">
        <f>IF(F31&gt;0,"SALARY DEDUCTION","")</f>
        <v/>
      </c>
    </row>
    <row r="32" spans="2:7" ht="15.6" customHeight="1" x14ac:dyDescent="0.2">
      <c r="B32" s="291"/>
      <c r="C32" s="299" t="s">
        <v>435</v>
      </c>
      <c r="D32" s="301" t="s">
        <v>436</v>
      </c>
      <c r="E32" s="324" t="str">
        <f>'ANNEXURE II'!D31</f>
        <v>L.I.C. PREMIUMS (Paid by Hand)</v>
      </c>
      <c r="F32" s="333">
        <f>'ANNEXURE II'!S31</f>
        <v>0</v>
      </c>
      <c r="G32" s="292" t="str">
        <f t="shared" ref="G32:G41" si="0">IF(F32&gt;0,"RECEIPT PRODUCED","")</f>
        <v/>
      </c>
    </row>
    <row r="33" spans="2:7" ht="15.6" customHeight="1" x14ac:dyDescent="0.2">
      <c r="B33" s="291"/>
      <c r="C33" s="299" t="s">
        <v>437</v>
      </c>
      <c r="D33" s="300" t="s">
        <v>436</v>
      </c>
      <c r="E33" s="297" t="str">
        <f>'ANNEXURE II'!D32</f>
        <v>POSTAL LIFE INSURANCE (PLI/RPLI)</v>
      </c>
      <c r="F33" s="333">
        <f>'ANNEXURE II'!S32</f>
        <v>0</v>
      </c>
      <c r="G33" s="292" t="str">
        <f t="shared" si="0"/>
        <v/>
      </c>
    </row>
    <row r="34" spans="2:7" ht="15.6" customHeight="1" x14ac:dyDescent="0.2">
      <c r="B34" s="291"/>
      <c r="C34" s="299" t="s">
        <v>438</v>
      </c>
      <c r="D34" s="300" t="s">
        <v>436</v>
      </c>
      <c r="E34" s="297" t="str">
        <f>'ANNEXURE II'!D33</f>
        <v>SUKANYA SAMRIDHI YOJANA</v>
      </c>
      <c r="F34" s="333">
        <f>'ANNEXURE II'!S33</f>
        <v>0</v>
      </c>
      <c r="G34" s="292" t="str">
        <f t="shared" si="0"/>
        <v/>
      </c>
    </row>
    <row r="35" spans="2:7" ht="15.6" customHeight="1" x14ac:dyDescent="0.2">
      <c r="B35" s="291"/>
      <c r="C35" s="299" t="s">
        <v>439</v>
      </c>
      <c r="D35" s="300" t="s">
        <v>436</v>
      </c>
      <c r="E35" s="297" t="str">
        <f>'ANNEXURE II'!D34</f>
        <v>S.B.I. LIFE INSURANCE</v>
      </c>
      <c r="F35" s="333">
        <f>'ANNEXURE II'!S34</f>
        <v>0</v>
      </c>
      <c r="G35" s="292" t="str">
        <f t="shared" si="0"/>
        <v/>
      </c>
    </row>
    <row r="36" spans="2:7" ht="15.6" customHeight="1" x14ac:dyDescent="0.2">
      <c r="B36" s="291"/>
      <c r="C36" s="299" t="s">
        <v>440</v>
      </c>
      <c r="D36" s="300" t="s">
        <v>436</v>
      </c>
      <c r="E36" s="297" t="str">
        <f>'ANNEXURE II'!D35</f>
        <v>PUBLIC PROVIDENT FUND</v>
      </c>
      <c r="F36" s="333">
        <f>'ANNEXURE II'!S35</f>
        <v>0</v>
      </c>
      <c r="G36" s="292" t="str">
        <f t="shared" si="0"/>
        <v/>
      </c>
    </row>
    <row r="37" spans="2:7" ht="15.6" customHeight="1" x14ac:dyDescent="0.2">
      <c r="B37" s="291"/>
      <c r="C37" s="299" t="s">
        <v>441</v>
      </c>
      <c r="D37" s="300" t="s">
        <v>436</v>
      </c>
      <c r="E37" s="297" t="str">
        <f>'ANNEXURE II'!D36</f>
        <v>TUTION FEE FOR CHILDREN</v>
      </c>
      <c r="F37" s="333">
        <f>'ANNEXURE II'!S36</f>
        <v>0</v>
      </c>
      <c r="G37" s="292" t="str">
        <f t="shared" si="0"/>
        <v/>
      </c>
    </row>
    <row r="38" spans="2:7" ht="15.6" customHeight="1" x14ac:dyDescent="0.2">
      <c r="B38" s="291"/>
      <c r="C38" s="299" t="s">
        <v>442</v>
      </c>
      <c r="D38" s="300" t="s">
        <v>436</v>
      </c>
      <c r="E38" s="297" t="str">
        <f>'ANNEXURE II'!D37</f>
        <v>HOME LOAN PRINCIPLE AMOUNT</v>
      </c>
      <c r="F38" s="333">
        <f>'ANNEXURE II'!S37</f>
        <v>0</v>
      </c>
      <c r="G38" s="292" t="str">
        <f t="shared" si="0"/>
        <v/>
      </c>
    </row>
    <row r="39" spans="2:7" ht="15.6" customHeight="1" x14ac:dyDescent="0.2">
      <c r="B39" s="291"/>
      <c r="C39" s="299" t="s">
        <v>443</v>
      </c>
      <c r="D39" s="300" t="s">
        <v>444</v>
      </c>
      <c r="E39" s="297" t="str">
        <f>'ANNEXURE II'!D38</f>
        <v xml:space="preserve">STAMP DUTY &amp; REGISTRATION </v>
      </c>
      <c r="F39" s="333">
        <f>'ANNEXURE II'!S38</f>
        <v>0</v>
      </c>
      <c r="G39" s="292" t="str">
        <f t="shared" si="0"/>
        <v/>
      </c>
    </row>
    <row r="40" spans="2:7" ht="15.6" customHeight="1" x14ac:dyDescent="0.2">
      <c r="B40" s="291"/>
      <c r="C40" s="299" t="s">
        <v>445</v>
      </c>
      <c r="D40" s="300" t="s">
        <v>446</v>
      </c>
      <c r="E40" s="297" t="str">
        <f>'ANNEXURE II'!D39</f>
        <v>HDFC LIFE INSURANCE</v>
      </c>
      <c r="F40" s="333">
        <f>'ANNEXURE II'!S39</f>
        <v>0</v>
      </c>
      <c r="G40" s="292" t="str">
        <f t="shared" si="0"/>
        <v/>
      </c>
    </row>
    <row r="41" spans="2:7" ht="15.6" customHeight="1" x14ac:dyDescent="0.2">
      <c r="B41" s="291"/>
      <c r="C41" s="299" t="s">
        <v>447</v>
      </c>
      <c r="D41" s="298" t="s">
        <v>436</v>
      </c>
      <c r="E41" s="297" t="str">
        <f>'ANNEXURE II'!D40</f>
        <v>OTHERS_________________</v>
      </c>
      <c r="F41" s="333">
        <f>'ANNEXURE II'!S40</f>
        <v>0</v>
      </c>
      <c r="G41" s="292" t="str">
        <f t="shared" si="0"/>
        <v/>
      </c>
    </row>
    <row r="42" spans="2:7" ht="31.5" customHeight="1" x14ac:dyDescent="0.2">
      <c r="B42" s="291" t="s">
        <v>448</v>
      </c>
      <c r="C42" s="1512" t="s">
        <v>449</v>
      </c>
      <c r="D42" s="1513"/>
      <c r="E42" s="1518"/>
      <c r="F42" s="335"/>
      <c r="G42" s="296"/>
    </row>
    <row r="43" spans="2:7" ht="15.6" customHeight="1" x14ac:dyDescent="0.2">
      <c r="B43" s="291"/>
      <c r="C43" s="294" t="s">
        <v>441</v>
      </c>
      <c r="D43" s="295" t="s">
        <v>343</v>
      </c>
      <c r="E43" s="425" t="str">
        <f>FORM16_FRONT!E59</f>
        <v>E.W.F &amp; S.W.F &amp; CMRF            U/s 80(G)</v>
      </c>
      <c r="F43" s="333">
        <f>'ANNEXURE II'!S46</f>
        <v>0</v>
      </c>
      <c r="G43" s="292" t="str">
        <f>IF(F43&gt;0,"SALARY DEDUCTION","")</f>
        <v/>
      </c>
    </row>
    <row r="44" spans="2:7" ht="15.6" customHeight="1" x14ac:dyDescent="0.2">
      <c r="B44" s="291"/>
      <c r="C44" s="294" t="s">
        <v>450</v>
      </c>
      <c r="D44" s="295" t="s">
        <v>344</v>
      </c>
      <c r="E44" s="425" t="str">
        <f>FORM16_FRONT!E60</f>
        <v xml:space="preserve">Interest on Housing Loan Advance U/s 24B  </v>
      </c>
      <c r="F44" s="333">
        <f>'ANNEXURE II'!S47</f>
        <v>0</v>
      </c>
      <c r="G44" s="292" t="str">
        <f>IF(F44&gt;0,"RECEIPT PRODUCED","")</f>
        <v/>
      </c>
    </row>
    <row r="45" spans="2:7" ht="15.6" customHeight="1" x14ac:dyDescent="0.2">
      <c r="B45" s="291"/>
      <c r="C45" s="294" t="s">
        <v>451</v>
      </c>
      <c r="D45" s="295" t="s">
        <v>346</v>
      </c>
      <c r="E45" s="425" t="str">
        <f>FORM16_FRONT!E61</f>
        <v>interest on Home Loan in FY:2019-20 , House Value&lt;=45L</v>
      </c>
      <c r="F45" s="333">
        <f>'ANNEXURE II'!S48</f>
        <v>0</v>
      </c>
      <c r="G45" s="292" t="str">
        <f t="shared" ref="G45:G47" si="1">IF(F45&gt;0,"RECEIPT PRODUCED","")</f>
        <v/>
      </c>
    </row>
    <row r="46" spans="2:7" ht="15.6" customHeight="1" x14ac:dyDescent="0.2">
      <c r="B46" s="291"/>
      <c r="C46" s="294" t="s">
        <v>452</v>
      </c>
      <c r="D46" s="295" t="s">
        <v>348</v>
      </c>
      <c r="E46" s="425" t="str">
        <f>FORM16_FRONT!E62</f>
        <v>interest on Home Loan in FY:2016-17 , House Value&lt;50L</v>
      </c>
      <c r="F46" s="333">
        <f>'ANNEXURE II'!S49</f>
        <v>0</v>
      </c>
      <c r="G46" s="292" t="str">
        <f t="shared" si="1"/>
        <v/>
      </c>
    </row>
    <row r="47" spans="2:7" ht="15.6" customHeight="1" x14ac:dyDescent="0.2">
      <c r="B47" s="291"/>
      <c r="C47" s="294" t="s">
        <v>453</v>
      </c>
      <c r="D47" s="295" t="s">
        <v>350</v>
      </c>
      <c r="E47" s="425" t="str">
        <f>FORM16_FRONT!E63</f>
        <v>Interest on Educational Loan</v>
      </c>
      <c r="F47" s="333">
        <f>'ANNEXURE II'!S50</f>
        <v>0</v>
      </c>
      <c r="G47" s="292" t="str">
        <f t="shared" si="1"/>
        <v/>
      </c>
    </row>
    <row r="48" spans="2:7" ht="15.6" customHeight="1" x14ac:dyDescent="0.2">
      <c r="B48" s="291"/>
      <c r="C48" s="294" t="s">
        <v>454</v>
      </c>
      <c r="D48" s="295" t="str">
        <f>FORM16_FRONT!D64</f>
        <v>80TTA</v>
      </c>
      <c r="E48" s="425" t="str">
        <f>FORM16_FRONT!E64</f>
        <v>80TTA : Interest on Savings A/c.  (AGE &lt;= 60)</v>
      </c>
      <c r="F48" s="333">
        <f>'ANNEXURE II'!S51</f>
        <v>0</v>
      </c>
      <c r="G48" s="292" t="str">
        <f>IF(F48&gt;0,"RECEIPT PRODUCED","")</f>
        <v/>
      </c>
    </row>
    <row r="49" spans="2:7" ht="15.6" customHeight="1" x14ac:dyDescent="0.2">
      <c r="B49" s="291"/>
      <c r="C49" s="294" t="s">
        <v>455</v>
      </c>
      <c r="D49" s="295" t="s">
        <v>352</v>
      </c>
      <c r="E49" s="426" t="str">
        <f>'ANNEXURE II'!D52</f>
        <v>Deduction for DISABLED (SELF) u/s 80U</v>
      </c>
      <c r="F49" s="333">
        <f>'ANNEXURE II'!S52</f>
        <v>0</v>
      </c>
      <c r="G49" s="292" t="str">
        <f>IF(F49&gt;0,"CERTIFICATE PRODUCED","")</f>
        <v/>
      </c>
    </row>
    <row r="50" spans="2:7" ht="15.6" customHeight="1" x14ac:dyDescent="0.2">
      <c r="B50" s="291"/>
      <c r="C50" s="294" t="s">
        <v>456</v>
      </c>
      <c r="D50" s="295" t="s">
        <v>353</v>
      </c>
      <c r="E50" s="426" t="str">
        <f>'ANNEXURE II'!D53</f>
        <v>Medical Insurance Premiums     80D</v>
      </c>
      <c r="F50" s="333">
        <f>'ANNEXURE II'!S53</f>
        <v>0</v>
      </c>
      <c r="G50" s="292" t="str">
        <f>IF(F50&gt;0,"RECEIPT PRODUCED","")</f>
        <v/>
      </c>
    </row>
    <row r="51" spans="2:7" ht="15.6" customHeight="1" x14ac:dyDescent="0.2">
      <c r="B51" s="291"/>
      <c r="C51" s="290" t="s">
        <v>457</v>
      </c>
      <c r="D51" s="295" t="s">
        <v>343</v>
      </c>
      <c r="E51" s="426" t="str">
        <f>'ANNEXURE II'!D54</f>
        <v>Donations of Charitable Trust    80G</v>
      </c>
      <c r="F51" s="333">
        <f>'ANNEXURE II'!S54</f>
        <v>0</v>
      </c>
      <c r="G51" s="292" t="str">
        <f>IF(F51&gt;0,"RECEIPT PRODUCED","")</f>
        <v/>
      </c>
    </row>
    <row r="52" spans="2:7" ht="15.6" customHeight="1" x14ac:dyDescent="0.2">
      <c r="B52" s="291"/>
      <c r="C52" s="294" t="s">
        <v>458</v>
      </c>
      <c r="D52" s="295" t="s">
        <v>353</v>
      </c>
      <c r="E52" s="426" t="str">
        <f>'ANNEXURE II'!D55</f>
        <v>Employee Health Scheme (EHS) 80D</v>
      </c>
      <c r="F52" s="333">
        <f>'ANNEXURE II'!S55</f>
        <v>0</v>
      </c>
      <c r="G52" s="292" t="str">
        <f>IF(F52&gt;0,"SALARY DEDUCTION","")</f>
        <v/>
      </c>
    </row>
    <row r="53" spans="2:7" ht="15.6" customHeight="1" x14ac:dyDescent="0.2">
      <c r="B53" s="291"/>
      <c r="C53" s="294" t="s">
        <v>459</v>
      </c>
      <c r="D53" s="293" t="s">
        <v>460</v>
      </c>
      <c r="E53" s="426" t="str">
        <f>'ANNEXURE II'!C42</f>
        <v>National Pension Scheme    U/s 80CCD (1)(B)</v>
      </c>
      <c r="F53" s="333">
        <f>'ANNEXURE II'!S42</f>
        <v>0</v>
      </c>
      <c r="G53" s="292" t="str">
        <f>IF(F53&gt;0,"SELF and Salary DEDUCTION","")</f>
        <v/>
      </c>
    </row>
    <row r="54" spans="2:7" ht="15.6" customHeight="1" x14ac:dyDescent="0.2">
      <c r="B54" s="291"/>
      <c r="C54" s="290" t="s">
        <v>461</v>
      </c>
      <c r="D54" s="289" t="s">
        <v>462</v>
      </c>
      <c r="E54" s="288" t="str">
        <f>'ANNEXURE II'!C43</f>
        <v>National Pension Scheme    U/s 80CCD (2)</v>
      </c>
      <c r="F54" s="336">
        <f>'ANNEXURE II'!S43</f>
        <v>0</v>
      </c>
      <c r="G54" s="287" t="str">
        <f>IF(F54&gt;0,"EMPLOYER's Contribution","")</f>
        <v/>
      </c>
    </row>
    <row r="55" spans="2:7" ht="20.100000000000001" customHeight="1" x14ac:dyDescent="0.2">
      <c r="B55" s="1519" t="s">
        <v>463</v>
      </c>
      <c r="C55" s="1520"/>
      <c r="D55" s="1520"/>
      <c r="E55" s="1520"/>
      <c r="F55" s="1520"/>
      <c r="G55" s="1521"/>
    </row>
    <row r="56" spans="2:7" ht="50.1" customHeight="1" x14ac:dyDescent="0.2">
      <c r="B56" s="852"/>
      <c r="C56" s="1505" t="str">
        <f>CONCATENATE("     I  ",UPPER(DATA!G17)," ",UPPER(DATA!H17)," ; ",DATA!H18," do hereby certify that the information given above is complete and correct.")</f>
        <v xml:space="preserve">     I  SRI.   PERUMALLA RAMANJANEYULU ; Secondary Grade Teacher do hereby certify that the information given above is complete and correct.</v>
      </c>
      <c r="D56" s="1505"/>
      <c r="E56" s="1505"/>
      <c r="F56" s="1505"/>
      <c r="G56" s="1506"/>
    </row>
    <row r="57" spans="2:7" ht="24.95" customHeight="1" x14ac:dyDescent="0.2">
      <c r="B57" s="1528" t="s">
        <v>464</v>
      </c>
      <c r="C57" s="1529"/>
      <c r="D57" s="1530" t="str">
        <f>UPPER(DATA!H34)</f>
        <v>BETHAMCHERLA</v>
      </c>
      <c r="E57" s="1530"/>
      <c r="F57" s="1531"/>
      <c r="G57" s="1532"/>
    </row>
    <row r="58" spans="2:7" ht="20.100000000000001" customHeight="1" x14ac:dyDescent="0.2">
      <c r="B58" s="1533" t="s">
        <v>465</v>
      </c>
      <c r="C58" s="1534"/>
      <c r="D58" s="1535">
        <f ca="1">TODAY()</f>
        <v>45977</v>
      </c>
      <c r="E58" s="1535"/>
      <c r="F58" s="1507" t="s">
        <v>466</v>
      </c>
      <c r="G58" s="1508"/>
    </row>
    <row r="59" spans="2:7" ht="20.100000000000001" customHeight="1" thickBot="1" x14ac:dyDescent="0.25">
      <c r="B59" s="1522" t="s">
        <v>467</v>
      </c>
      <c r="C59" s="1523"/>
      <c r="D59" s="1524" t="str">
        <f>UPPER(DATA!H18)</f>
        <v>SECONDARY GRADE TEACHER</v>
      </c>
      <c r="E59" s="1524"/>
      <c r="F59" s="1525" t="str">
        <f>CONCATENATE("FULL NAME : ",UPPER(DATA!H17))</f>
        <v>FULL NAME : PERUMALLA RAMANJANEYULU</v>
      </c>
      <c r="G59" s="1526"/>
    </row>
    <row r="60" spans="2:7" ht="15.75" thickTop="1" x14ac:dyDescent="0.2">
      <c r="B60" s="1527" t="s">
        <v>179</v>
      </c>
      <c r="C60" s="1527"/>
      <c r="D60" s="1527"/>
      <c r="E60" s="1527"/>
      <c r="F60" s="1527"/>
      <c r="G60" s="1527"/>
    </row>
  </sheetData>
  <sheetProtection algorithmName="SHA-512" hashValue="y0ikn1a0v+PQtUY981wvyruJS6SB1epSbWQZc0kZOGXxzNB68LeRpb7/KDfrDCltgKpjACoSknbukCbQvTN18A==" saltValue="4GBapwrcWN5efdZ2p8rd7g==" spinCount="100000" sheet="1" objects="1" scenarios="1" selectLockedCells="1" selectUnlockedCells="1"/>
  <mergeCells count="41">
    <mergeCell ref="B59:C59"/>
    <mergeCell ref="D59:E59"/>
    <mergeCell ref="F59:G59"/>
    <mergeCell ref="B60:G60"/>
    <mergeCell ref="B57:C57"/>
    <mergeCell ref="D57:E57"/>
    <mergeCell ref="F57:G57"/>
    <mergeCell ref="B58:C58"/>
    <mergeCell ref="D58:E58"/>
    <mergeCell ref="C56:G56"/>
    <mergeCell ref="C22:E22"/>
    <mergeCell ref="C23:E23"/>
    <mergeCell ref="C24:E24"/>
    <mergeCell ref="F58:G58"/>
    <mergeCell ref="C25:E25"/>
    <mergeCell ref="C26:E26"/>
    <mergeCell ref="C27:E27"/>
    <mergeCell ref="C28:E28"/>
    <mergeCell ref="C42:E42"/>
    <mergeCell ref="B55:G55"/>
    <mergeCell ref="C17:E17"/>
    <mergeCell ref="C18:E18"/>
    <mergeCell ref="C19:E19"/>
    <mergeCell ref="C20:E20"/>
    <mergeCell ref="C21:E21"/>
    <mergeCell ref="C12:E12"/>
    <mergeCell ref="C13:E13"/>
    <mergeCell ref="C14:E14"/>
    <mergeCell ref="F14:G14"/>
    <mergeCell ref="C16:E16"/>
    <mergeCell ref="F16:G16"/>
    <mergeCell ref="B7:G7"/>
    <mergeCell ref="B8:G8"/>
    <mergeCell ref="B9:G9"/>
    <mergeCell ref="C10:E10"/>
    <mergeCell ref="C11:E11"/>
    <mergeCell ref="B2:G2"/>
    <mergeCell ref="B3:G3"/>
    <mergeCell ref="B4:G4"/>
    <mergeCell ref="B5:G5"/>
    <mergeCell ref="B6:G6"/>
  </mergeCells>
  <conditionalFormatting sqref="F19:F54">
    <cfRule type="cellIs" dxfId="13" priority="6" operator="equal">
      <formula>0</formula>
    </cfRule>
  </conditionalFormatting>
  <printOptions horizontalCentered="1" verticalCentered="1"/>
  <pageMargins left="7.874015748031496E-2" right="7.874015748031496E-2" top="0.15748031496062992" bottom="0.15748031496062992" header="7.874015748031496E-2" footer="7.874015748031496E-2"/>
  <pageSetup paperSize="9" scale="8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A9F957B-FEFD-42BA-9826-4D550CBEDA16}">
            <xm:f>'ANNEXURE I'!$B$2="NEW"</xm:f>
            <x14:dxf>
              <font>
                <b val="0"/>
                <i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B2:G4</xm:sqref>
        </x14:conditionalFormatting>
        <x14:conditionalFormatting xmlns:xm="http://schemas.microsoft.com/office/excel/2006/main">
          <x14:cfRule type="expression" priority="3" id="{CCAB8A73-6480-4D95-BF8D-72AB55062CF2}">
            <xm:f>'ANNEXURE I'!$B$2="NEW"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B5:G59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CBEE-E872-4C02-BD29-B71A8790851F}">
  <sheetPr codeName="Sheet10">
    <tabColor rgb="FFFF0066"/>
  </sheetPr>
  <dimension ref="A1:CX56"/>
  <sheetViews>
    <sheetView showGridLines="0" zoomScale="90" zoomScaleNormal="90" zoomScaleSheetLayoutView="100" workbookViewId="0">
      <pane xSplit="3" ySplit="6" topLeftCell="D10" activePane="bottomRight" state="frozen"/>
      <selection pane="bottomLeft" activeCell="B4" sqref="B4:K4"/>
      <selection pane="topRight" activeCell="B4" sqref="B4:K4"/>
      <selection pane="bottomRight" activeCell="B4" sqref="B4:K4"/>
    </sheetView>
  </sheetViews>
  <sheetFormatPr defaultColWidth="9.14453125" defaultRowHeight="16.5" x14ac:dyDescent="0.25"/>
  <cols>
    <col min="1" max="1" width="3.765625" style="585" customWidth="1"/>
    <col min="2" max="2" width="11.703125" style="585" customWidth="1" collapsed="1"/>
    <col min="3" max="3" width="8.7421875" style="585" customWidth="1"/>
    <col min="4" max="4" width="13.71875" style="585" customWidth="1" collapsed="1"/>
    <col min="5" max="5" width="11.703125" style="585" customWidth="1" collapsed="1"/>
    <col min="6" max="6" width="13.71875" style="585" customWidth="1" collapsed="1"/>
    <col min="7" max="9" width="12.64453125" style="585" customWidth="1" collapsed="1"/>
    <col min="10" max="10" width="3.765625" style="585" customWidth="1"/>
    <col min="11" max="11" width="6.72265625" style="585" customWidth="1" collapsed="1"/>
    <col min="12" max="12" width="38.7421875" style="585" customWidth="1"/>
    <col min="13" max="13" width="34.70703125" style="585" customWidth="1"/>
    <col min="14" max="14" width="13.31640625" style="585" customWidth="1" collapsed="1"/>
    <col min="15" max="26" width="9.14453125" style="585"/>
    <col min="27" max="27" width="4.5703125" style="409" hidden="1" customWidth="1"/>
    <col min="28" max="28" width="13.5859375" style="409" hidden="1" customWidth="1" collapsed="1"/>
    <col min="29" max="29" width="11.703125" style="409" hidden="1" customWidth="1" collapsed="1"/>
    <col min="30" max="30" width="12.375" style="409" hidden="1" customWidth="1"/>
    <col min="31" max="31" width="8.7421875" style="409" hidden="1" customWidth="1"/>
    <col min="32" max="32" width="9.28125" style="409" hidden="1" customWidth="1"/>
    <col min="33" max="34" width="8.7421875" style="409" hidden="1" customWidth="1"/>
    <col min="35" max="35" width="4.5703125" style="409" hidden="1" customWidth="1"/>
    <col min="36" max="36" width="13.5859375" style="409" hidden="1" customWidth="1" collapsed="1"/>
    <col min="37" max="37" width="11.703125" style="409" hidden="1" customWidth="1" collapsed="1"/>
    <col min="38" max="38" width="12.375" style="409" hidden="1" customWidth="1"/>
    <col min="39" max="39" width="8.7421875" style="409" hidden="1" customWidth="1"/>
    <col min="40" max="40" width="9.28125" style="409" hidden="1" customWidth="1"/>
    <col min="41" max="42" width="8.7421875" style="409" hidden="1" customWidth="1"/>
    <col min="43" max="43" width="4.5703125" style="409" hidden="1" customWidth="1"/>
    <col min="44" max="44" width="13.5859375" style="409" hidden="1" customWidth="1" collapsed="1"/>
    <col min="45" max="45" width="11.703125" style="409" hidden="1" customWidth="1" collapsed="1"/>
    <col min="46" max="46" width="12.375" style="409" hidden="1" customWidth="1"/>
    <col min="47" max="47" width="8.7421875" style="409" hidden="1" customWidth="1"/>
    <col min="48" max="48" width="9.28125" style="409" hidden="1" customWidth="1"/>
    <col min="49" max="50" width="8.7421875" style="409" hidden="1" customWidth="1"/>
    <col min="51" max="52" width="0" hidden="1" customWidth="1"/>
    <col min="66" max="66" width="8.609375" style="584" customWidth="1"/>
    <col min="67" max="76" width="9.14453125" style="585" customWidth="1"/>
    <col min="77" max="102" width="9.14453125" style="585"/>
    <col min="103" max="16384" width="9.14453125" style="585" collapsed="1"/>
  </cols>
  <sheetData>
    <row r="1" spans="1:66" ht="9.9499999999999993" customHeight="1" thickBot="1" x14ac:dyDescent="0.3">
      <c r="BN1" s="853"/>
    </row>
    <row r="2" spans="1:66" ht="32.450000000000003" customHeight="1" thickTop="1" thickBot="1" x14ac:dyDescent="0.3">
      <c r="B2" s="1541" t="s">
        <v>468</v>
      </c>
      <c r="C2" s="1542"/>
      <c r="D2" s="586" t="s">
        <v>469</v>
      </c>
      <c r="E2" s="587"/>
      <c r="F2" s="587"/>
      <c r="G2" s="587"/>
      <c r="H2" s="587"/>
      <c r="I2" s="588"/>
      <c r="K2" s="1543" t="s">
        <v>470</v>
      </c>
      <c r="L2" s="1543"/>
      <c r="M2" s="1543"/>
      <c r="N2" s="1543"/>
      <c r="AB2" s="1537" t="s">
        <v>471</v>
      </c>
      <c r="AC2" s="1537"/>
      <c r="AD2" s="1537"/>
      <c r="AE2" s="1537"/>
      <c r="AF2" s="1537"/>
      <c r="AG2" s="1537"/>
      <c r="AH2" s="1537"/>
      <c r="AJ2" s="1536" t="s">
        <v>472</v>
      </c>
      <c r="AK2" s="1536"/>
      <c r="AL2" s="1536"/>
      <c r="AM2" s="1536"/>
      <c r="AN2" s="1536"/>
      <c r="AO2" s="1536"/>
      <c r="AP2" s="1536"/>
      <c r="AR2" s="1536" t="s">
        <v>473</v>
      </c>
      <c r="AS2" s="1536"/>
      <c r="AT2" s="1536"/>
      <c r="AU2" s="1536"/>
      <c r="AV2" s="1536"/>
      <c r="AW2" s="1536"/>
      <c r="AX2" s="1536"/>
      <c r="BN2" s="853"/>
    </row>
    <row r="3" spans="1:66" ht="9.9499999999999993" customHeight="1" thickTop="1" thickBot="1" x14ac:dyDescent="0.25">
      <c r="BN3" s="589"/>
    </row>
    <row r="4" spans="1:66" ht="27.95" customHeight="1" thickTop="1" thickBot="1" x14ac:dyDescent="0.25">
      <c r="B4" s="1544" t="s">
        <v>474</v>
      </c>
      <c r="C4" s="1545"/>
      <c r="D4" s="1546" t="s">
        <v>475</v>
      </c>
      <c r="E4" s="1547"/>
      <c r="F4" s="1547"/>
      <c r="G4" s="1548"/>
      <c r="H4" s="1549" t="str">
        <f>"Relief = "&amp;TEXT(N14,"00,000")&amp;" Rs. "</f>
        <v xml:space="preserve">Relief = 00,000 Rs. </v>
      </c>
      <c r="I4" s="1550"/>
      <c r="K4" s="1551" t="s">
        <v>476</v>
      </c>
      <c r="L4" s="1552"/>
      <c r="M4" s="1552"/>
      <c r="N4" s="1553"/>
      <c r="AA4" s="589"/>
      <c r="AB4" s="722" t="s">
        <v>477</v>
      </c>
      <c r="AC4" s="590" t="s">
        <v>478</v>
      </c>
      <c r="AD4" s="721" t="s">
        <v>479</v>
      </c>
      <c r="AE4" s="591" t="s">
        <v>480</v>
      </c>
      <c r="AF4" s="721" t="s">
        <v>481</v>
      </c>
      <c r="AG4" s="591" t="s">
        <v>482</v>
      </c>
      <c r="AH4" s="590" t="s">
        <v>483</v>
      </c>
      <c r="AI4" s="589"/>
      <c r="AJ4" s="722" t="s">
        <v>477</v>
      </c>
      <c r="AK4" s="590" t="s">
        <v>478</v>
      </c>
      <c r="AL4" s="590" t="s">
        <v>484</v>
      </c>
      <c r="AM4" s="591" t="s">
        <v>480</v>
      </c>
      <c r="AN4" s="721" t="s">
        <v>481</v>
      </c>
      <c r="AO4" s="591" t="s">
        <v>482</v>
      </c>
      <c r="AP4" s="590" t="s">
        <v>483</v>
      </c>
      <c r="AQ4" s="589"/>
      <c r="AR4" s="722" t="s">
        <v>477</v>
      </c>
      <c r="AS4" s="590" t="s">
        <v>478</v>
      </c>
      <c r="AT4" s="651" t="s">
        <v>485</v>
      </c>
      <c r="AU4" s="591" t="s">
        <v>480</v>
      </c>
      <c r="AV4" s="721" t="s">
        <v>481</v>
      </c>
      <c r="AW4" s="591" t="s">
        <v>482</v>
      </c>
      <c r="AX4" s="590" t="s">
        <v>483</v>
      </c>
      <c r="BN4" s="589"/>
    </row>
    <row r="5" spans="1:66" s="592" customFormat="1" ht="30" customHeight="1" thickTop="1" thickBot="1" x14ac:dyDescent="0.3">
      <c r="B5" s="854">
        <v>1</v>
      </c>
      <c r="C5" s="855">
        <v>2010</v>
      </c>
      <c r="D5" s="856">
        <v>2</v>
      </c>
      <c r="E5" s="856">
        <v>3</v>
      </c>
      <c r="F5" s="856">
        <v>4</v>
      </c>
      <c r="G5" s="856">
        <v>5</v>
      </c>
      <c r="H5" s="856">
        <v>6</v>
      </c>
      <c r="I5" s="857">
        <v>7</v>
      </c>
      <c r="K5" s="1554"/>
      <c r="L5" s="1555"/>
      <c r="M5" s="1555"/>
      <c r="N5" s="1556"/>
      <c r="AA5" s="589"/>
      <c r="AB5" s="593" t="s">
        <v>486</v>
      </c>
      <c r="AC5" s="858" t="s">
        <v>414</v>
      </c>
      <c r="AD5" s="858" t="s">
        <v>431</v>
      </c>
      <c r="AE5" s="858" t="s">
        <v>448</v>
      </c>
      <c r="AF5" s="858" t="s">
        <v>487</v>
      </c>
      <c r="AG5" s="858" t="s">
        <v>488</v>
      </c>
      <c r="AH5" s="858" t="s">
        <v>489</v>
      </c>
      <c r="AI5" s="589"/>
      <c r="AJ5" s="593" t="s">
        <v>486</v>
      </c>
      <c r="AK5" s="858" t="s">
        <v>414</v>
      </c>
      <c r="AL5" s="858" t="s">
        <v>415</v>
      </c>
      <c r="AM5" s="858" t="s">
        <v>416</v>
      </c>
      <c r="AN5" s="858" t="s">
        <v>417</v>
      </c>
      <c r="AO5" s="858" t="s">
        <v>490</v>
      </c>
      <c r="AP5" s="858" t="s">
        <v>491</v>
      </c>
      <c r="AQ5" s="589"/>
      <c r="AR5" s="593" t="s">
        <v>486</v>
      </c>
      <c r="AS5" s="858" t="s">
        <v>414</v>
      </c>
      <c r="AT5" s="858" t="s">
        <v>415</v>
      </c>
      <c r="AU5" s="858" t="s">
        <v>416</v>
      </c>
      <c r="AV5" s="858" t="s">
        <v>417</v>
      </c>
      <c r="AW5" s="858" t="s">
        <v>490</v>
      </c>
      <c r="AX5" s="858" t="s">
        <v>491</v>
      </c>
      <c r="BN5" s="589"/>
    </row>
    <row r="6" spans="1:66" ht="32.450000000000003" customHeight="1" thickTop="1" thickBot="1" x14ac:dyDescent="0.3">
      <c r="B6" s="594" t="s">
        <v>492</v>
      </c>
      <c r="C6" s="595" t="s">
        <v>146</v>
      </c>
      <c r="D6" s="595" t="s">
        <v>478</v>
      </c>
      <c r="E6" s="595" t="s">
        <v>493</v>
      </c>
      <c r="F6" s="595" t="s">
        <v>494</v>
      </c>
      <c r="G6" s="595" t="s">
        <v>495</v>
      </c>
      <c r="H6" s="595" t="s">
        <v>496</v>
      </c>
      <c r="I6" s="596" t="s">
        <v>497</v>
      </c>
      <c r="K6" s="597" t="s">
        <v>372</v>
      </c>
      <c r="L6" s="1560" t="s">
        <v>498</v>
      </c>
      <c r="M6" s="1561"/>
      <c r="N6" s="598" t="s">
        <v>499</v>
      </c>
      <c r="AA6" s="589"/>
      <c r="AB6" s="859" t="s">
        <v>500</v>
      </c>
      <c r="AC6" s="859"/>
      <c r="AD6" s="859"/>
      <c r="AE6" s="859"/>
      <c r="AF6" s="599" t="s">
        <v>501</v>
      </c>
      <c r="AG6" s="859"/>
      <c r="AH6" s="859" t="s">
        <v>502</v>
      </c>
      <c r="AI6" s="589"/>
      <c r="AJ6" s="859" t="s">
        <v>503</v>
      </c>
      <c r="AK6" s="859"/>
      <c r="AL6" s="859"/>
      <c r="AM6" s="859"/>
      <c r="AN6" s="599" t="s">
        <v>504</v>
      </c>
      <c r="AO6" s="859"/>
      <c r="AP6" s="859" t="s">
        <v>505</v>
      </c>
      <c r="AQ6" s="589"/>
      <c r="AR6" s="859" t="s">
        <v>503</v>
      </c>
      <c r="AS6" s="859"/>
      <c r="AT6" s="859"/>
      <c r="AU6" s="859"/>
      <c r="AV6" s="599" t="s">
        <v>504</v>
      </c>
      <c r="AW6" s="859"/>
      <c r="AX6" s="859" t="s">
        <v>505</v>
      </c>
      <c r="BN6" s="853"/>
    </row>
    <row r="7" spans="1:66" s="592" customFormat="1" ht="32.450000000000003" customHeight="1" x14ac:dyDescent="0.25">
      <c r="A7" s="600">
        <v>1</v>
      </c>
      <c r="B7" s="610" t="str">
        <f>$C$5&amp;"-"&amp;RIGHT($C$5+A7,4)</f>
        <v>2010-2011</v>
      </c>
      <c r="C7" s="734" t="s">
        <v>69</v>
      </c>
      <c r="D7" s="611"/>
      <c r="E7" s="612"/>
      <c r="F7" s="613">
        <f t="shared" ref="F7:F21" si="0">D7+E7</f>
        <v>0</v>
      </c>
      <c r="G7" s="614">
        <f>IF(Gender="Female",'10E DATA'!AX27,'10E DATA'!AP27)</f>
        <v>0</v>
      </c>
      <c r="H7" s="614">
        <f>IF(Gender="Female",'10E DATA'!AX7,'10E DATA'!AP7)</f>
        <v>0</v>
      </c>
      <c r="I7" s="475">
        <f t="shared" ref="I7:I21" si="1">MAX(0,H7-G7)</f>
        <v>0</v>
      </c>
      <c r="J7" s="600"/>
      <c r="K7" s="601">
        <v>1</v>
      </c>
      <c r="L7" s="602" t="s">
        <v>506</v>
      </c>
      <c r="M7" s="603" t="s">
        <v>507</v>
      </c>
      <c r="N7" s="604">
        <f>D21</f>
        <v>903410</v>
      </c>
      <c r="AA7" s="409"/>
      <c r="AB7" s="860"/>
      <c r="AC7" s="719"/>
      <c r="AD7" s="720"/>
      <c r="AE7" s="720"/>
      <c r="AF7" s="720"/>
      <c r="AG7" s="720"/>
      <c r="AH7" s="720"/>
      <c r="AI7" s="409"/>
      <c r="AJ7" s="861" t="s">
        <v>508</v>
      </c>
      <c r="AK7" s="716">
        <f>'10E DATA'!D7+'10E DATA'!E7</f>
        <v>0</v>
      </c>
      <c r="AL7" s="717">
        <f>IF(AK7&lt;=160000,0,
IF(AND(AK7&gt;160000,AK7&lt;=500000),(AK7-160000)*0.1,
IF(AND(AK7&gt;500000,AK7&lt;=800000),(AK7-500000)*0.2+34000,
IF(AK7&gt;800000,(AK7-800000)*0.3+94000))))</f>
        <v>0</v>
      </c>
      <c r="AM7" s="718"/>
      <c r="AN7" s="717">
        <f t="shared" ref="AN7:AN21" si="2">AL7-AM7</f>
        <v>0</v>
      </c>
      <c r="AO7" s="717">
        <f t="shared" ref="AO7:AO14" si="3">AN7*0.03</f>
        <v>0</v>
      </c>
      <c r="AP7" s="717">
        <f t="shared" ref="AP7:AP21" si="4">AN7+AO7</f>
        <v>0</v>
      </c>
      <c r="AQ7" s="409"/>
      <c r="AR7" s="862" t="s">
        <v>508</v>
      </c>
      <c r="AS7" s="741">
        <f>AK7</f>
        <v>0</v>
      </c>
      <c r="AT7" s="742">
        <f>IF(AS7&lt;=190000,0,IF(AS7&lt;=500000,((AS7-190000)*0.1),IF(AS7&lt;=800000,((AS7-500000)*0.2+31000),(((AS7-800000)*0.3)+91000))))</f>
        <v>0</v>
      </c>
      <c r="AU7" s="742"/>
      <c r="AV7" s="742">
        <f>AT7-AU7</f>
        <v>0</v>
      </c>
      <c r="AW7" s="742">
        <f>AV7*0.03</f>
        <v>0</v>
      </c>
      <c r="AX7" s="742">
        <f>AV7+AW7</f>
        <v>0</v>
      </c>
      <c r="BN7" s="853"/>
    </row>
    <row r="8" spans="1:66" ht="32.450000000000003" customHeight="1" x14ac:dyDescent="0.25">
      <c r="A8" s="600">
        <v>2</v>
      </c>
      <c r="B8" s="610" t="str">
        <f t="shared" ref="B8:B20" si="5">$C$5+A7&amp;"-"&amp;RIGHT($C$5+A8,4)</f>
        <v>2011-2012</v>
      </c>
      <c r="C8" s="734" t="s">
        <v>69</v>
      </c>
      <c r="D8" s="611"/>
      <c r="E8" s="612"/>
      <c r="F8" s="613">
        <f t="shared" si="0"/>
        <v>0</v>
      </c>
      <c r="G8" s="614">
        <f>IF(Gender="Female",'10E DATA'!AX28,'10E DATA'!AP28)</f>
        <v>0</v>
      </c>
      <c r="H8" s="614">
        <f>IF(Gender="Female",'10E DATA'!AX8,'10E DATA'!AP8)</f>
        <v>0</v>
      </c>
      <c r="I8" s="475">
        <f t="shared" si="1"/>
        <v>0</v>
      </c>
      <c r="J8" s="600"/>
      <c r="K8" s="605">
        <v>2</v>
      </c>
      <c r="L8" s="606" t="s">
        <v>509</v>
      </c>
      <c r="M8" s="606"/>
      <c r="N8" s="607">
        <f>E21</f>
        <v>0</v>
      </c>
      <c r="AB8" s="860"/>
      <c r="AC8" s="719"/>
      <c r="AD8" s="720"/>
      <c r="AE8" s="720"/>
      <c r="AF8" s="720"/>
      <c r="AG8" s="720"/>
      <c r="AH8" s="720"/>
      <c r="AJ8" s="861" t="s">
        <v>510</v>
      </c>
      <c r="AK8" s="716">
        <f>'10E DATA'!D8+'10E DATA'!E8</f>
        <v>0</v>
      </c>
      <c r="AL8" s="717">
        <f>IF(AK8&lt;=180000,0,
IF(AND(AK8&gt;180000,AK8&lt;=500000),(AK8-180000)*0.1,
IF(AND(AK8&gt;500000,AK8&lt;=800000),(AK8-500000)*0.2+32000,
IF(AK8&gt;800000,(AK8-800000)*0.3+92000))))</f>
        <v>0</v>
      </c>
      <c r="AM8" s="718"/>
      <c r="AN8" s="717">
        <f t="shared" si="2"/>
        <v>0</v>
      </c>
      <c r="AO8" s="717">
        <f t="shared" si="3"/>
        <v>0</v>
      </c>
      <c r="AP8" s="717">
        <f t="shared" si="4"/>
        <v>0</v>
      </c>
      <c r="AR8" s="862" t="s">
        <v>510</v>
      </c>
      <c r="AS8" s="741">
        <f>AK8</f>
        <v>0</v>
      </c>
      <c r="AT8" s="742">
        <f>IF(AS8&lt;=190000,0,IF(AS8&lt;=500000,((AS8-190000)*0.1),IF(AS8&lt;=800000,((AS8-500000)*0.2+31000),(((AS8-800000)*0.3)+91000))))</f>
        <v>0</v>
      </c>
      <c r="AU8" s="742"/>
      <c r="AV8" s="742">
        <f>AT8-AU8</f>
        <v>0</v>
      </c>
      <c r="AW8" s="742">
        <f>AV8*0.03</f>
        <v>0</v>
      </c>
      <c r="AX8" s="742">
        <f>AV8+AW8</f>
        <v>0</v>
      </c>
      <c r="BN8" s="853"/>
    </row>
    <row r="9" spans="1:66" ht="32.450000000000003" customHeight="1" x14ac:dyDescent="0.25">
      <c r="A9" s="600">
        <v>3</v>
      </c>
      <c r="B9" s="610" t="str">
        <f t="shared" si="5"/>
        <v>2012-2013</v>
      </c>
      <c r="C9" s="734" t="s">
        <v>69</v>
      </c>
      <c r="D9" s="611"/>
      <c r="E9" s="612"/>
      <c r="F9" s="613">
        <f t="shared" si="0"/>
        <v>0</v>
      </c>
      <c r="G9" s="614">
        <f>IF(Gender="Female",'10E DATA'!AX29,'10E DATA'!AP29)</f>
        <v>0</v>
      </c>
      <c r="H9" s="614">
        <f>IF(Gender="Female",'10E DATA'!AX9,'10E DATA'!AP9)</f>
        <v>0</v>
      </c>
      <c r="I9" s="475">
        <f t="shared" si="1"/>
        <v>0</v>
      </c>
      <c r="J9" s="600"/>
      <c r="K9" s="605">
        <v>3</v>
      </c>
      <c r="L9" s="608" t="s">
        <v>511</v>
      </c>
      <c r="M9" s="609" t="s">
        <v>512</v>
      </c>
      <c r="N9" s="607">
        <f>N7+N8</f>
        <v>903410</v>
      </c>
      <c r="AB9" s="860"/>
      <c r="AC9" s="719"/>
      <c r="AD9" s="720"/>
      <c r="AE9" s="720"/>
      <c r="AF9" s="720"/>
      <c r="AG9" s="720"/>
      <c r="AH9" s="720"/>
      <c r="AJ9" s="861" t="s">
        <v>513</v>
      </c>
      <c r="AK9" s="716">
        <f>'10E DATA'!D9+'10E DATA'!E9</f>
        <v>0</v>
      </c>
      <c r="AL9" s="717">
        <f>IF(AK9&lt;=200000,0,
IF(AND(AK9&gt;200000,AK9&lt;=500000),(AK9-200000)*0.1,
IF(AND(AK9&gt;500000,AK9&lt;=1000000),(AK9-500000)*0.2+30000,
IF(AK9&gt;1000000,(AK9-1000000)*0.3+130000))))</f>
        <v>0</v>
      </c>
      <c r="AM9" s="718"/>
      <c r="AN9" s="717">
        <f t="shared" si="2"/>
        <v>0</v>
      </c>
      <c r="AO9" s="717">
        <f t="shared" si="3"/>
        <v>0</v>
      </c>
      <c r="AP9" s="717">
        <f t="shared" si="4"/>
        <v>0</v>
      </c>
      <c r="AR9" s="862" t="s">
        <v>513</v>
      </c>
      <c r="AS9" s="741">
        <f>AK9</f>
        <v>0</v>
      </c>
      <c r="AT9" s="742">
        <f>IF(AS9&lt;=200000,0,
  IF(AS9&lt;=500000,((AS9-200000)*0.1),
  IF(AS9&lt;=1000000,((AS9-500000)*0.2+30000),(((AS9-1000000)*0.3)+130000))))</f>
        <v>0</v>
      </c>
      <c r="AU9" s="742"/>
      <c r="AV9" s="742">
        <f>AT9-AU9</f>
        <v>0</v>
      </c>
      <c r="AW9" s="742">
        <f>AV9*0.03</f>
        <v>0</v>
      </c>
      <c r="AX9" s="742">
        <f>AV9+AW9</f>
        <v>0</v>
      </c>
      <c r="BN9" s="853"/>
    </row>
    <row r="10" spans="1:66" ht="32.450000000000003" customHeight="1" x14ac:dyDescent="0.25">
      <c r="A10" s="600">
        <v>4</v>
      </c>
      <c r="B10" s="610" t="str">
        <f t="shared" si="5"/>
        <v>2013-2014</v>
      </c>
      <c r="C10" s="714" t="s">
        <v>69</v>
      </c>
      <c r="D10" s="611"/>
      <c r="E10" s="612"/>
      <c r="F10" s="613">
        <f t="shared" si="0"/>
        <v>0</v>
      </c>
      <c r="G10" s="614">
        <f>IF('10E DATA'!C10="OLD",'10E DATA'!AP30,'10E DATA'!AH30)</f>
        <v>0</v>
      </c>
      <c r="H10" s="614">
        <f>IF('10E DATA'!C10="OLD",'10E DATA'!AP10,'10E DATA'!AH10)</f>
        <v>0</v>
      </c>
      <c r="I10" s="475">
        <f t="shared" si="1"/>
        <v>0</v>
      </c>
      <c r="J10" s="600"/>
      <c r="K10" s="605">
        <v>4</v>
      </c>
      <c r="L10" s="863" t="s">
        <v>514</v>
      </c>
      <c r="M10" s="615" t="str">
        <f>IF(C21="NEW","NEW REGIME","OLD REGIME")</f>
        <v>NEW REGIME</v>
      </c>
      <c r="N10" s="607">
        <f>H21</f>
        <v>41954.64</v>
      </c>
      <c r="AB10" s="860"/>
      <c r="AC10" s="719"/>
      <c r="AD10" s="720"/>
      <c r="AE10" s="720"/>
      <c r="AF10" s="720"/>
      <c r="AG10" s="720"/>
      <c r="AH10" s="720"/>
      <c r="AJ10" s="861" t="s">
        <v>515</v>
      </c>
      <c r="AK10" s="716">
        <f>'10E DATA'!D10+'10E DATA'!E10</f>
        <v>0</v>
      </c>
      <c r="AL10" s="717">
        <f>IF(AK10&lt;=200000,0,
IF(AND(AK10&gt;200000,AK10&lt;=500000),(AK10-200000)*0.1,
IF(AND(AK10&gt;500000,AK10&lt;=1000000),(AK10-500000)*0.2+30000,
IF(AK10&gt;1000000,(AK10-1000000)*0.3+130000))))</f>
        <v>0</v>
      </c>
      <c r="AM10" s="717">
        <f>IF(AK10&lt;=500000,MIN(AL10,2000),0)</f>
        <v>0</v>
      </c>
      <c r="AN10" s="717">
        <f t="shared" si="2"/>
        <v>0</v>
      </c>
      <c r="AO10" s="717">
        <f t="shared" si="3"/>
        <v>0</v>
      </c>
      <c r="AP10" s="717">
        <f t="shared" si="4"/>
        <v>0</v>
      </c>
      <c r="AR10" s="861" t="s">
        <v>515</v>
      </c>
      <c r="AS10" s="716">
        <f>AK10</f>
        <v>0</v>
      </c>
      <c r="AT10" s="717">
        <f>AL10</f>
        <v>0</v>
      </c>
      <c r="AU10" s="717">
        <f t="shared" ref="AU10:AX10" si="6">AM10</f>
        <v>0</v>
      </c>
      <c r="AV10" s="717">
        <f t="shared" si="6"/>
        <v>0</v>
      </c>
      <c r="AW10" s="717">
        <f t="shared" si="6"/>
        <v>0</v>
      </c>
      <c r="AX10" s="717">
        <f t="shared" si="6"/>
        <v>0</v>
      </c>
      <c r="BN10" s="853"/>
    </row>
    <row r="11" spans="1:66" ht="32.450000000000003" customHeight="1" x14ac:dyDescent="0.25">
      <c r="A11" s="600">
        <v>5</v>
      </c>
      <c r="B11" s="610" t="str">
        <f t="shared" si="5"/>
        <v>2014-2015</v>
      </c>
      <c r="C11" s="714" t="s">
        <v>69</v>
      </c>
      <c r="D11" s="611"/>
      <c r="E11" s="612"/>
      <c r="F11" s="613">
        <f t="shared" si="0"/>
        <v>0</v>
      </c>
      <c r="G11" s="614">
        <f>IF('10E DATA'!C11="OLD",'10E DATA'!AP31,'10E DATA'!AH31)</f>
        <v>0</v>
      </c>
      <c r="H11" s="614">
        <f>IF('10E DATA'!C11="OLD",'10E DATA'!AP11,'10E DATA'!AH11)</f>
        <v>0</v>
      </c>
      <c r="I11" s="475">
        <f t="shared" si="1"/>
        <v>0</v>
      </c>
      <c r="J11" s="600"/>
      <c r="K11" s="605">
        <v>5</v>
      </c>
      <c r="L11" s="608" t="s">
        <v>516</v>
      </c>
      <c r="M11" s="615" t="str">
        <f>IF(C21="NEW","NEW REGIME","OLD REGIME")</f>
        <v>NEW REGIME</v>
      </c>
      <c r="N11" s="607">
        <f>G21</f>
        <v>41954.64</v>
      </c>
      <c r="AB11" s="860"/>
      <c r="AC11" s="719"/>
      <c r="AD11" s="720"/>
      <c r="AE11" s="720"/>
      <c r="AF11" s="720"/>
      <c r="AG11" s="720"/>
      <c r="AH11" s="720"/>
      <c r="AJ11" s="861" t="s">
        <v>517</v>
      </c>
      <c r="AK11" s="716">
        <f>'10E DATA'!D11+'10E DATA'!E11</f>
        <v>0</v>
      </c>
      <c r="AL11" s="717">
        <f>IF(AK11&lt;=250000,0,
IF(AND(AK11&gt;250000,AK11&lt;=500000),(AK11-250000)*0.1,
IF(AND(AK11&gt;500000,AK11&lt;=1000000),(AK11-500000)*0.2+25000,
IF(AK11&gt;1000000,(AK11-1000000)*0.3+125000))))</f>
        <v>0</v>
      </c>
      <c r="AM11" s="717">
        <f>IF(AK11&lt;=500000,MIN(AL11,2000),0)</f>
        <v>0</v>
      </c>
      <c r="AN11" s="717">
        <f t="shared" si="2"/>
        <v>0</v>
      </c>
      <c r="AO11" s="717">
        <f t="shared" si="3"/>
        <v>0</v>
      </c>
      <c r="AP11" s="717">
        <f t="shared" si="4"/>
        <v>0</v>
      </c>
      <c r="AR11" s="861" t="s">
        <v>517</v>
      </c>
      <c r="AS11" s="716">
        <f t="shared" ref="AS11:AS21" si="7">AK11</f>
        <v>0</v>
      </c>
      <c r="AT11" s="717">
        <f t="shared" ref="AT11:AT21" si="8">AL11</f>
        <v>0</v>
      </c>
      <c r="AU11" s="717">
        <f t="shared" ref="AU11:AU21" si="9">AM11</f>
        <v>0</v>
      </c>
      <c r="AV11" s="717">
        <f t="shared" ref="AV11:AV21" si="10">AN11</f>
        <v>0</v>
      </c>
      <c r="AW11" s="717">
        <f t="shared" ref="AW11:AW21" si="11">AO11</f>
        <v>0</v>
      </c>
      <c r="AX11" s="717">
        <f t="shared" ref="AX11:AX21" si="12">AP11</f>
        <v>0</v>
      </c>
      <c r="BN11" s="853"/>
    </row>
    <row r="12" spans="1:66" ht="32.450000000000003" customHeight="1" x14ac:dyDescent="0.25">
      <c r="A12" s="600">
        <v>6</v>
      </c>
      <c r="B12" s="610" t="str">
        <f t="shared" si="5"/>
        <v>2015-2016</v>
      </c>
      <c r="C12" s="714" t="s">
        <v>69</v>
      </c>
      <c r="D12" s="611"/>
      <c r="E12" s="612"/>
      <c r="F12" s="613">
        <f t="shared" si="0"/>
        <v>0</v>
      </c>
      <c r="G12" s="614">
        <f>IF('10E DATA'!C12="OLD",'10E DATA'!AP32,'10E DATA'!AH32)</f>
        <v>0</v>
      </c>
      <c r="H12" s="614">
        <f>IF('10E DATA'!C12="OLD",'10E DATA'!AP12,'10E DATA'!AH12)</f>
        <v>0</v>
      </c>
      <c r="I12" s="475">
        <f t="shared" si="1"/>
        <v>0</v>
      </c>
      <c r="J12" s="600"/>
      <c r="K12" s="605">
        <v>6</v>
      </c>
      <c r="L12" s="616" t="s">
        <v>518</v>
      </c>
      <c r="M12" s="864" t="s">
        <v>519</v>
      </c>
      <c r="N12" s="607">
        <f>N10-N11</f>
        <v>0</v>
      </c>
      <c r="AB12" s="860"/>
      <c r="AC12" s="719"/>
      <c r="AD12" s="720"/>
      <c r="AE12" s="720"/>
      <c r="AF12" s="720"/>
      <c r="AG12" s="720"/>
      <c r="AH12" s="720"/>
      <c r="AJ12" s="861" t="s">
        <v>520</v>
      </c>
      <c r="AK12" s="716">
        <f>'10E DATA'!D12+'10E DATA'!E12</f>
        <v>0</v>
      </c>
      <c r="AL12" s="717">
        <f>IF(AK12&lt;=250000,0,
IF(AND(AK12&gt;250000,AK12&lt;=500000),(AK12-250000)*0.1,
IF(AND(AK12&gt;500000,AK12&lt;=1000000),(AK12-500000)*0.2+25000,
IF(AK12&gt;1000000,(AK12-1000000)*0.3+125000))))</f>
        <v>0</v>
      </c>
      <c r="AM12" s="717">
        <f>IF(AK12&lt;=500000,MIN(AL12,2000),0)</f>
        <v>0</v>
      </c>
      <c r="AN12" s="717">
        <f t="shared" si="2"/>
        <v>0</v>
      </c>
      <c r="AO12" s="717">
        <f t="shared" si="3"/>
        <v>0</v>
      </c>
      <c r="AP12" s="717">
        <f t="shared" si="4"/>
        <v>0</v>
      </c>
      <c r="AR12" s="861" t="s">
        <v>520</v>
      </c>
      <c r="AS12" s="716">
        <f t="shared" si="7"/>
        <v>0</v>
      </c>
      <c r="AT12" s="717">
        <f t="shared" si="8"/>
        <v>0</v>
      </c>
      <c r="AU12" s="717">
        <f t="shared" si="9"/>
        <v>0</v>
      </c>
      <c r="AV12" s="717">
        <f t="shared" si="10"/>
        <v>0</v>
      </c>
      <c r="AW12" s="717">
        <f t="shared" si="11"/>
        <v>0</v>
      </c>
      <c r="AX12" s="717">
        <f t="shared" si="12"/>
        <v>0</v>
      </c>
      <c r="BN12" s="853"/>
    </row>
    <row r="13" spans="1:66" ht="32.450000000000003" customHeight="1" x14ac:dyDescent="0.25">
      <c r="A13" s="600">
        <v>7</v>
      </c>
      <c r="B13" s="610" t="str">
        <f t="shared" si="5"/>
        <v>2016-2017</v>
      </c>
      <c r="C13" s="714" t="s">
        <v>69</v>
      </c>
      <c r="D13" s="611"/>
      <c r="E13" s="612"/>
      <c r="F13" s="613">
        <f t="shared" si="0"/>
        <v>0</v>
      </c>
      <c r="G13" s="614">
        <f>IF('10E DATA'!C13="OLD",'10E DATA'!AP33,'10E DATA'!AH33)</f>
        <v>0</v>
      </c>
      <c r="H13" s="614">
        <f>IF('10E DATA'!C13="OLD",'10E DATA'!AP13,'10E DATA'!AH13)</f>
        <v>0</v>
      </c>
      <c r="I13" s="475">
        <f t="shared" si="1"/>
        <v>0</v>
      </c>
      <c r="J13" s="600"/>
      <c r="K13" s="605">
        <v>7</v>
      </c>
      <c r="L13" s="617" t="s">
        <v>521</v>
      </c>
      <c r="M13" s="865" t="s">
        <v>522</v>
      </c>
      <c r="N13" s="607">
        <f>I23</f>
        <v>0</v>
      </c>
      <c r="AB13" s="860"/>
      <c r="AC13" s="719"/>
      <c r="AD13" s="720"/>
      <c r="AE13" s="720"/>
      <c r="AF13" s="720"/>
      <c r="AG13" s="720"/>
      <c r="AH13" s="720"/>
      <c r="AJ13" s="861" t="s">
        <v>523</v>
      </c>
      <c r="AK13" s="716">
        <f>'10E DATA'!D13+'10E DATA'!E13</f>
        <v>0</v>
      </c>
      <c r="AL13" s="717">
        <f>IF(AK13&lt;=250000,0,
IF(AND(AK13&gt;250000,AK13&lt;=500000),(AK13-250000)*0.1,
IF(AND(AK13&gt;500000,AK13&lt;=1000000),(AK13-500000)*0.2+25000,
IF(AK13&gt;1000000,(AK13-1000000)*0.3+125000))))</f>
        <v>0</v>
      </c>
      <c r="AM13" s="717">
        <f>IF(AK13&lt;=500000,MIN(AL13,5000),0)</f>
        <v>0</v>
      </c>
      <c r="AN13" s="717">
        <f t="shared" si="2"/>
        <v>0</v>
      </c>
      <c r="AO13" s="717">
        <f t="shared" si="3"/>
        <v>0</v>
      </c>
      <c r="AP13" s="717">
        <f t="shared" si="4"/>
        <v>0</v>
      </c>
      <c r="AR13" s="861" t="s">
        <v>523</v>
      </c>
      <c r="AS13" s="716">
        <f t="shared" si="7"/>
        <v>0</v>
      </c>
      <c r="AT13" s="717">
        <f t="shared" si="8"/>
        <v>0</v>
      </c>
      <c r="AU13" s="717">
        <f t="shared" si="9"/>
        <v>0</v>
      </c>
      <c r="AV13" s="717">
        <f t="shared" si="10"/>
        <v>0</v>
      </c>
      <c r="AW13" s="717">
        <f t="shared" si="11"/>
        <v>0</v>
      </c>
      <c r="AX13" s="717">
        <f t="shared" si="12"/>
        <v>0</v>
      </c>
      <c r="BN13" s="853"/>
    </row>
    <row r="14" spans="1:66" ht="32.450000000000003" customHeight="1" thickBot="1" x14ac:dyDescent="0.3">
      <c r="A14" s="600">
        <v>8</v>
      </c>
      <c r="B14" s="610" t="str">
        <f t="shared" si="5"/>
        <v>2017-2018</v>
      </c>
      <c r="C14" s="714" t="s">
        <v>69</v>
      </c>
      <c r="D14" s="611"/>
      <c r="E14" s="612"/>
      <c r="F14" s="613">
        <f t="shared" si="0"/>
        <v>0</v>
      </c>
      <c r="G14" s="614">
        <f>IF('10E DATA'!C14="OLD",'10E DATA'!AP34,'10E DATA'!AH34)</f>
        <v>0</v>
      </c>
      <c r="H14" s="614">
        <f>IF('10E DATA'!C14="OLD",'10E DATA'!AP14,'10E DATA'!AH14)</f>
        <v>0</v>
      </c>
      <c r="I14" s="475">
        <f t="shared" si="1"/>
        <v>0</v>
      </c>
      <c r="J14" s="600"/>
      <c r="K14" s="618">
        <v>8</v>
      </c>
      <c r="L14" s="619" t="s">
        <v>524</v>
      </c>
      <c r="M14" s="866"/>
      <c r="N14" s="620">
        <f>IF((N12-N13)&lt;=0,0,(N12-N13))</f>
        <v>0</v>
      </c>
      <c r="AB14" s="860"/>
      <c r="AC14" s="719"/>
      <c r="AD14" s="720"/>
      <c r="AE14" s="720"/>
      <c r="AF14" s="720"/>
      <c r="AG14" s="720"/>
      <c r="AH14" s="720"/>
      <c r="AJ14" s="861" t="s">
        <v>525</v>
      </c>
      <c r="AK14" s="716">
        <f>'10E DATA'!D14+'10E DATA'!E14</f>
        <v>0</v>
      </c>
      <c r="AL14" s="717">
        <f>IF(AK14&lt;=250000,0,
IF(AND(AK14&gt;250000,AK14&lt;=500000),(AK14-250000)*0.05,
IF(AND(AK14&gt;500000,AK14&lt;=1000000),(AK14-500000)*0.2+12500,
IF(AK14&gt;1000000,(AK14-1000000)*0.3+112500))))</f>
        <v>0</v>
      </c>
      <c r="AM14" s="717">
        <f>IF(AK14&lt;=350000,MIN(AL14,2500),0)</f>
        <v>0</v>
      </c>
      <c r="AN14" s="717">
        <f t="shared" si="2"/>
        <v>0</v>
      </c>
      <c r="AO14" s="717">
        <f t="shared" si="3"/>
        <v>0</v>
      </c>
      <c r="AP14" s="717">
        <f t="shared" si="4"/>
        <v>0</v>
      </c>
      <c r="AR14" s="861" t="s">
        <v>525</v>
      </c>
      <c r="AS14" s="716">
        <f t="shared" si="7"/>
        <v>0</v>
      </c>
      <c r="AT14" s="717">
        <f t="shared" si="8"/>
        <v>0</v>
      </c>
      <c r="AU14" s="717">
        <f t="shared" si="9"/>
        <v>0</v>
      </c>
      <c r="AV14" s="717">
        <f t="shared" si="10"/>
        <v>0</v>
      </c>
      <c r="AW14" s="717">
        <f t="shared" si="11"/>
        <v>0</v>
      </c>
      <c r="AX14" s="717">
        <f t="shared" si="12"/>
        <v>0</v>
      </c>
      <c r="BN14" s="853"/>
    </row>
    <row r="15" spans="1:66" ht="32.450000000000003" customHeight="1" thickTop="1" thickBot="1" x14ac:dyDescent="0.3">
      <c r="A15" s="600">
        <v>9</v>
      </c>
      <c r="B15" s="610" t="str">
        <f t="shared" si="5"/>
        <v>2018-2019</v>
      </c>
      <c r="C15" s="714" t="s">
        <v>69</v>
      </c>
      <c r="D15" s="611"/>
      <c r="E15" s="612"/>
      <c r="F15" s="613">
        <f t="shared" si="0"/>
        <v>0</v>
      </c>
      <c r="G15" s="614">
        <f>IF('10E DATA'!C15="OLD",'10E DATA'!AP35,'10E DATA'!AH35)</f>
        <v>0</v>
      </c>
      <c r="H15" s="614">
        <f>IF('10E DATA'!C15="OLD",'10E DATA'!AP15,'10E DATA'!AH15)</f>
        <v>0</v>
      </c>
      <c r="I15" s="475">
        <f t="shared" si="1"/>
        <v>0</v>
      </c>
      <c r="J15" s="600"/>
      <c r="K15" s="621"/>
      <c r="L15" s="621"/>
      <c r="M15" s="621"/>
      <c r="N15" s="621"/>
      <c r="AB15" s="860"/>
      <c r="AC15" s="719"/>
      <c r="AD15" s="720"/>
      <c r="AE15" s="720"/>
      <c r="AF15" s="720"/>
      <c r="AG15" s="720"/>
      <c r="AH15" s="720"/>
      <c r="AJ15" s="861" t="s">
        <v>526</v>
      </c>
      <c r="AK15" s="716">
        <f>'10E DATA'!D15+'10E DATA'!E15</f>
        <v>0</v>
      </c>
      <c r="AL15" s="717">
        <f>IF(AK15&lt;=250000,0,
IF(AND(AK15&gt;250000,AK15&lt;=500000),(AK15-250000)*0.05,
IF(AND(AK15&gt;500000,AK15&lt;=1000000),(AK15-500000)*0.2+12500,
IF(AK15&gt;1000000,(AK15-1000000)*0.3+112500))))</f>
        <v>0</v>
      </c>
      <c r="AM15" s="717">
        <f>IF(AK15&lt;=350000,MIN(AL15,2500),0)</f>
        <v>0</v>
      </c>
      <c r="AN15" s="717">
        <f t="shared" si="2"/>
        <v>0</v>
      </c>
      <c r="AO15" s="717">
        <f t="shared" ref="AO15:AO21" si="13">AN15*0.04</f>
        <v>0</v>
      </c>
      <c r="AP15" s="717">
        <f t="shared" si="4"/>
        <v>0</v>
      </c>
      <c r="AR15" s="861" t="s">
        <v>526</v>
      </c>
      <c r="AS15" s="716">
        <f t="shared" si="7"/>
        <v>0</v>
      </c>
      <c r="AT15" s="717">
        <f t="shared" si="8"/>
        <v>0</v>
      </c>
      <c r="AU15" s="717">
        <f t="shared" si="9"/>
        <v>0</v>
      </c>
      <c r="AV15" s="717">
        <f t="shared" si="10"/>
        <v>0</v>
      </c>
      <c r="AW15" s="717">
        <f t="shared" si="11"/>
        <v>0</v>
      </c>
      <c r="AX15" s="717">
        <f t="shared" si="12"/>
        <v>0</v>
      </c>
      <c r="BN15" s="853"/>
    </row>
    <row r="16" spans="1:66" ht="32.450000000000003" customHeight="1" thickTop="1" x14ac:dyDescent="0.25">
      <c r="A16" s="600">
        <v>10</v>
      </c>
      <c r="B16" s="610" t="str">
        <f t="shared" si="5"/>
        <v>2019-2020</v>
      </c>
      <c r="C16" s="714" t="s">
        <v>69</v>
      </c>
      <c r="D16" s="611"/>
      <c r="E16" s="612"/>
      <c r="F16" s="613">
        <f t="shared" si="0"/>
        <v>0</v>
      </c>
      <c r="G16" s="614">
        <f>IF('10E DATA'!C16="OLD",'10E DATA'!AP36,'10E DATA'!AH36)</f>
        <v>0</v>
      </c>
      <c r="H16" s="614">
        <f>IF('10E DATA'!C16="OLD",'10E DATA'!AP16,'10E DATA'!AH16)</f>
        <v>0</v>
      </c>
      <c r="I16" s="475">
        <f t="shared" si="1"/>
        <v>0</v>
      </c>
      <c r="J16" s="600"/>
      <c r="K16" s="1562" t="s">
        <v>527</v>
      </c>
      <c r="L16" s="1563"/>
      <c r="M16" s="1563"/>
      <c r="N16" s="1564"/>
      <c r="AB16" s="860"/>
      <c r="AC16" s="719"/>
      <c r="AD16" s="720"/>
      <c r="AE16" s="720"/>
      <c r="AF16" s="720"/>
      <c r="AG16" s="720"/>
      <c r="AH16" s="720"/>
      <c r="AJ16" s="861" t="s">
        <v>528</v>
      </c>
      <c r="AK16" s="716">
        <f>'10E DATA'!D16+'10E DATA'!E16</f>
        <v>0</v>
      </c>
      <c r="AL16" s="717">
        <f>IF(AK16&lt;=250000,0,
IF(AND(AK16&gt;250000,AK16&lt;=500000),(AK16-250000)*0.05,
IF(AND(AK16&gt;500000,AK16&lt;=1000000),(AK16-500000)*0.2+12500,
IF(AK16&gt;1000000,(AK16-1000000)*0.3+112500))))</f>
        <v>0</v>
      </c>
      <c r="AM16" s="717">
        <f>IF(AK16&lt;=500000,MIN(AL16,12500),0)</f>
        <v>0</v>
      </c>
      <c r="AN16" s="717">
        <f t="shared" si="2"/>
        <v>0</v>
      </c>
      <c r="AO16" s="717">
        <f t="shared" si="13"/>
        <v>0</v>
      </c>
      <c r="AP16" s="717">
        <f t="shared" si="4"/>
        <v>0</v>
      </c>
      <c r="AR16" s="861" t="s">
        <v>528</v>
      </c>
      <c r="AS16" s="716">
        <f t="shared" si="7"/>
        <v>0</v>
      </c>
      <c r="AT16" s="717">
        <f t="shared" si="8"/>
        <v>0</v>
      </c>
      <c r="AU16" s="717">
        <f t="shared" si="9"/>
        <v>0</v>
      </c>
      <c r="AV16" s="717">
        <f t="shared" si="10"/>
        <v>0</v>
      </c>
      <c r="AW16" s="717">
        <f t="shared" si="11"/>
        <v>0</v>
      </c>
      <c r="AX16" s="717">
        <f t="shared" si="12"/>
        <v>0</v>
      </c>
      <c r="BN16" s="853"/>
    </row>
    <row r="17" spans="1:66" ht="32.450000000000003" customHeight="1" x14ac:dyDescent="0.2">
      <c r="A17" s="600">
        <v>11</v>
      </c>
      <c r="B17" s="622" t="str">
        <f t="shared" si="5"/>
        <v>2020-2021</v>
      </c>
      <c r="C17" s="623" t="s">
        <v>69</v>
      </c>
      <c r="D17" s="611"/>
      <c r="E17" s="612"/>
      <c r="F17" s="613">
        <f t="shared" si="0"/>
        <v>0</v>
      </c>
      <c r="G17" s="614">
        <f>IF('10E DATA'!C17="OLD",'10E DATA'!AP37,'10E DATA'!AH37)</f>
        <v>0</v>
      </c>
      <c r="H17" s="614">
        <f>IF('10E DATA'!C17="OLD",'10E DATA'!AP17,'10E DATA'!AH17)</f>
        <v>0</v>
      </c>
      <c r="I17" s="475">
        <f t="shared" si="1"/>
        <v>0</v>
      </c>
      <c r="J17" s="600"/>
      <c r="K17" s="1565"/>
      <c r="L17" s="1566"/>
      <c r="M17" s="1566"/>
      <c r="N17" s="1567"/>
      <c r="AB17" s="861" t="str">
        <f t="shared" ref="AB17:AC21" si="14">AJ17</f>
        <v>FY 2020-21</v>
      </c>
      <c r="AC17" s="716">
        <f t="shared" si="14"/>
        <v>0</v>
      </c>
      <c r="AD17" s="717">
        <f>IF(AND(AC17&lt;=250000),0,
IF(AND(AC17&gt;250000,AND(AC17&lt;=500000)),ROUND((AC17-250000)*5%,0),
IF(AND(AC17&gt;500000,AND(AC17&lt;=750000)),ROUND(12500+(AC17-500000)*10%,0),
IF(AND(AC17&gt;750000,AND(AC17&lt;=1000000)),ROUND(37500+(AC17-750000)*15%,0),
IF(AND(AC17&gt;1000000,AND(AC17&lt;=1250000)),ROUND(75000+(AC17-1000000)*20%,0),
IF(AND(AC17&gt;1250000,AND(AC17&lt;=1500000)),ROUND(125000+(AC17-1250000)*25%,0),
IF(AND(AC17&gt;1500000),ROUND(187500+(AC17-1500000)*30%,0),0)))))))</f>
        <v>0</v>
      </c>
      <c r="AE17" s="717">
        <f>IF(AK17&lt;=500000,MIN(AD17,12500),0)</f>
        <v>0</v>
      </c>
      <c r="AF17" s="717">
        <f>AD17-AE17</f>
        <v>0</v>
      </c>
      <c r="AG17" s="717">
        <f>AF17*0.04</f>
        <v>0</v>
      </c>
      <c r="AH17" s="717">
        <f>AF17+AG17</f>
        <v>0</v>
      </c>
      <c r="AJ17" s="861" t="s">
        <v>529</v>
      </c>
      <c r="AK17" s="716">
        <f>'10E DATA'!D17+'10E DATA'!E17</f>
        <v>0</v>
      </c>
      <c r="AL17" s="717">
        <f>IF(AND(AK17&lt;=250000),0,
  IF(AND(AK17&gt;250000,AND(AK17&lt;=500000)),ROUND((AK17-250000)*5%,0),
  IF(AND(AK17&gt;500000,AND(AK17&lt;=1000000)),ROUND(12500+(AK17-500000)*20%,0),
  IF(AND(AK17&gt;1000000),ROUND(112500+(AK17-1000000)*30%,0),0))))</f>
        <v>0</v>
      </c>
      <c r="AM17" s="717">
        <f>IF(AK17&lt;=500000,MIN(AL17,12500),0)</f>
        <v>0</v>
      </c>
      <c r="AN17" s="717">
        <f t="shared" si="2"/>
        <v>0</v>
      </c>
      <c r="AO17" s="717">
        <f t="shared" si="13"/>
        <v>0</v>
      </c>
      <c r="AP17" s="717">
        <f t="shared" si="4"/>
        <v>0</v>
      </c>
      <c r="AR17" s="861" t="s">
        <v>529</v>
      </c>
      <c r="AS17" s="716">
        <f t="shared" si="7"/>
        <v>0</v>
      </c>
      <c r="AT17" s="717">
        <f t="shared" si="8"/>
        <v>0</v>
      </c>
      <c r="AU17" s="717">
        <f t="shared" si="9"/>
        <v>0</v>
      </c>
      <c r="AV17" s="717">
        <f t="shared" si="10"/>
        <v>0</v>
      </c>
      <c r="AW17" s="717">
        <f t="shared" si="11"/>
        <v>0</v>
      </c>
      <c r="AX17" s="717">
        <f t="shared" si="12"/>
        <v>0</v>
      </c>
      <c r="BN17" s="589"/>
    </row>
    <row r="18" spans="1:66" ht="32.450000000000003" customHeight="1" thickBot="1" x14ac:dyDescent="0.25">
      <c r="A18" s="600">
        <v>12</v>
      </c>
      <c r="B18" s="622" t="str">
        <f t="shared" si="5"/>
        <v>2021-2022</v>
      </c>
      <c r="C18" s="623" t="s">
        <v>69</v>
      </c>
      <c r="D18" s="611"/>
      <c r="E18" s="612"/>
      <c r="F18" s="613">
        <f t="shared" si="0"/>
        <v>0</v>
      </c>
      <c r="G18" s="614">
        <f>IF('10E DATA'!C18="OLD",'10E DATA'!AP38,'10E DATA'!AH38)</f>
        <v>0</v>
      </c>
      <c r="H18" s="614">
        <f>IF('10E DATA'!C18="OLD",'10E DATA'!AP18,'10E DATA'!AH18)</f>
        <v>0</v>
      </c>
      <c r="I18" s="475">
        <f t="shared" si="1"/>
        <v>0</v>
      </c>
      <c r="J18" s="600"/>
      <c r="K18" s="1568"/>
      <c r="L18" s="1569"/>
      <c r="M18" s="1569"/>
      <c r="N18" s="1570"/>
      <c r="AA18" s="589"/>
      <c r="AB18" s="861" t="str">
        <f t="shared" si="14"/>
        <v>FY 2021-22</v>
      </c>
      <c r="AC18" s="716">
        <f t="shared" si="14"/>
        <v>0</v>
      </c>
      <c r="AD18" s="717">
        <f>IF(AND(AC18&lt;=250000),0,
IF(AND(AC18&gt;250000,AND(AC18&lt;=500000)),ROUND((AC18-250000)*5%,0),
IF(AND(AC18&gt;500000,AND(AC18&lt;=750000)),ROUND(12500+(AC18-500000)*10%,0),
IF(AND(AC18&gt;750000,AND(AC18&lt;=1000000)),ROUND(37500+(AC18-750000)*15%,0),
IF(AND(AC18&gt;1000000,AND(AC18&lt;=1250000)),ROUND(75000+(AC18-1000000)*20%,0),
IF(AND(AC18&gt;1250000,AND(AC18&lt;=1500000)),ROUND(125000+(AC18-1250000)*25%,0),
IF(AND(AC18&gt;1500000),ROUND(187500+(AC18-1500000)*30%,0),0)))))))</f>
        <v>0</v>
      </c>
      <c r="AE18" s="717">
        <f>IF(AK18&lt;=500000,MIN(AD18,12500),0)</f>
        <v>0</v>
      </c>
      <c r="AF18" s="717">
        <f>AD18-AE18</f>
        <v>0</v>
      </c>
      <c r="AG18" s="717">
        <f>AF18*0.04</f>
        <v>0</v>
      </c>
      <c r="AH18" s="717">
        <f>AF18+AG18</f>
        <v>0</v>
      </c>
      <c r="AI18" s="589"/>
      <c r="AJ18" s="861" t="s">
        <v>530</v>
      </c>
      <c r="AK18" s="716">
        <f>'10E DATA'!D18+'10E DATA'!E18</f>
        <v>0</v>
      </c>
      <c r="AL18" s="717">
        <f>IF(AND(AK18&lt;=250000),0,
IF(AND(AK18&gt;250000,AND(AK18&lt;=500000)),ROUND((AK18-250000)*5%,0),
IF(AND(AK18&gt;500000,AND(AK18&lt;=1000000)),ROUND(12500+(AK18-500000)*20%,0),
IF(AND(AK18&gt;1000000),ROUND(112500+(AK18-1000000)*30%,0),0))))</f>
        <v>0</v>
      </c>
      <c r="AM18" s="717">
        <f>IF(AK18&lt;=500000,MIN(AL18,12500),0)</f>
        <v>0</v>
      </c>
      <c r="AN18" s="717">
        <f t="shared" si="2"/>
        <v>0</v>
      </c>
      <c r="AO18" s="717">
        <f t="shared" si="13"/>
        <v>0</v>
      </c>
      <c r="AP18" s="717">
        <f t="shared" si="4"/>
        <v>0</v>
      </c>
      <c r="AQ18" s="589"/>
      <c r="AR18" s="861" t="s">
        <v>530</v>
      </c>
      <c r="AS18" s="716">
        <f t="shared" si="7"/>
        <v>0</v>
      </c>
      <c r="AT18" s="717">
        <f t="shared" si="8"/>
        <v>0</v>
      </c>
      <c r="AU18" s="717">
        <f t="shared" si="9"/>
        <v>0</v>
      </c>
      <c r="AV18" s="717">
        <f t="shared" si="10"/>
        <v>0</v>
      </c>
      <c r="AW18" s="717">
        <f t="shared" si="11"/>
        <v>0</v>
      </c>
      <c r="AX18" s="717">
        <f t="shared" si="12"/>
        <v>0</v>
      </c>
      <c r="BN18" s="589"/>
    </row>
    <row r="19" spans="1:66" ht="32.450000000000003" customHeight="1" thickTop="1" thickBot="1" x14ac:dyDescent="0.25">
      <c r="A19" s="600">
        <v>13</v>
      </c>
      <c r="B19" s="622" t="str">
        <f t="shared" si="5"/>
        <v>2022-2023</v>
      </c>
      <c r="C19" s="623" t="s">
        <v>69</v>
      </c>
      <c r="D19" s="611"/>
      <c r="E19" s="612"/>
      <c r="F19" s="613">
        <f t="shared" si="0"/>
        <v>0</v>
      </c>
      <c r="G19" s="614">
        <f>IF('10E DATA'!C19="OLD",'10E DATA'!AP39,'10E DATA'!AH39)</f>
        <v>0</v>
      </c>
      <c r="H19" s="614">
        <f>IF('10E DATA'!C19="OLD",'10E DATA'!AP19,'10E DATA'!AH19)</f>
        <v>0</v>
      </c>
      <c r="I19" s="475">
        <f t="shared" si="1"/>
        <v>0</v>
      </c>
      <c r="J19" s="600"/>
      <c r="K19" s="624"/>
      <c r="L19" s="624"/>
      <c r="M19" s="624"/>
      <c r="N19" s="624"/>
      <c r="AA19" s="589"/>
      <c r="AB19" s="861" t="str">
        <f t="shared" si="14"/>
        <v>FY 2022-23</v>
      </c>
      <c r="AC19" s="716">
        <f t="shared" si="14"/>
        <v>0</v>
      </c>
      <c r="AD19" s="717">
        <f>IF(AND(AC19&lt;=250000),0,
IF(AND(AC19&gt;250000,AND(AC19&lt;=500000)),ROUND((AC19-250000)*5%,0),
IF(AND(AC19&gt;500000,AND(AC19&lt;=750000)),ROUND(12500+(AC19-500000)*10%,0),
IF(AND(AC19&gt;750000,AND(AC19&lt;=1000000)),ROUND(37500+(AC19-750000)*15%,0),
IF(AND(AC19&gt;1000000,AND(AC19&lt;=1250000)),ROUND(75000+(AC19-1000000)*20%,0),
IF(AND(AC19&gt;1250000,AND(AC19&lt;=1500000)),ROUND(125000+(AC19-1250000)*25%,0),
IF(AND(AC19&gt;1500000),ROUND(187500+(AC19-1500000)*30%,0),0)))))))</f>
        <v>0</v>
      </c>
      <c r="AE19" s="717">
        <f>IF(AC19&lt;=500000,MIN(AD19,12500),0)</f>
        <v>0</v>
      </c>
      <c r="AF19" s="717">
        <f>AD19-AE19</f>
        <v>0</v>
      </c>
      <c r="AG19" s="717">
        <f>AF19*0.04</f>
        <v>0</v>
      </c>
      <c r="AH19" s="717">
        <f>AF19+AG19</f>
        <v>0</v>
      </c>
      <c r="AI19" s="589"/>
      <c r="AJ19" s="861" t="s">
        <v>531</v>
      </c>
      <c r="AK19" s="716">
        <f>'10E DATA'!D19+'10E DATA'!E19</f>
        <v>0</v>
      </c>
      <c r="AL19" s="717">
        <f>IF(AND(AK19&lt;=250000),0,
IF(AND(AK19&gt;250000,AND(AK19&lt;=500000)),ROUND((AK19-250000)*5%,0),
IF(AND(AK19&gt;500000,AND(AK19&lt;=1000000)),ROUND(12500+(AK19-500000)*20%,0),
IF(AND(AK19&gt;1000000),ROUND(112500+(AK19-1000000)*30%,0),0))))</f>
        <v>0</v>
      </c>
      <c r="AM19" s="717">
        <f>IF(AC19&lt;=500000,MIN(AL19,12500),0)</f>
        <v>0</v>
      </c>
      <c r="AN19" s="717">
        <f t="shared" si="2"/>
        <v>0</v>
      </c>
      <c r="AO19" s="717">
        <f t="shared" si="13"/>
        <v>0</v>
      </c>
      <c r="AP19" s="717">
        <f t="shared" si="4"/>
        <v>0</v>
      </c>
      <c r="AQ19" s="589"/>
      <c r="AR19" s="861" t="s">
        <v>531</v>
      </c>
      <c r="AS19" s="716">
        <f t="shared" si="7"/>
        <v>0</v>
      </c>
      <c r="AT19" s="717">
        <f t="shared" si="8"/>
        <v>0</v>
      </c>
      <c r="AU19" s="717">
        <f t="shared" si="9"/>
        <v>0</v>
      </c>
      <c r="AV19" s="717">
        <f t="shared" si="10"/>
        <v>0</v>
      </c>
      <c r="AW19" s="717">
        <f t="shared" si="11"/>
        <v>0</v>
      </c>
      <c r="AX19" s="717">
        <f t="shared" si="12"/>
        <v>0</v>
      </c>
      <c r="BN19" s="589"/>
    </row>
    <row r="20" spans="1:66" ht="32.450000000000003" customHeight="1" thickTop="1" x14ac:dyDescent="0.2">
      <c r="A20" s="600">
        <v>14</v>
      </c>
      <c r="B20" s="622" t="str">
        <f t="shared" si="5"/>
        <v>2023-2024</v>
      </c>
      <c r="C20" s="623" t="s">
        <v>69</v>
      </c>
      <c r="D20" s="611"/>
      <c r="E20" s="612"/>
      <c r="F20" s="613">
        <f t="shared" si="0"/>
        <v>0</v>
      </c>
      <c r="G20" s="614">
        <f>IF('10E DATA'!C20="OLD",'10E DATA'!AP40,'10E DATA'!AH40)</f>
        <v>0</v>
      </c>
      <c r="H20" s="614">
        <f>IF('10E DATA'!C20="OLD",'10E DATA'!AP20,'10E DATA'!AH20)</f>
        <v>0</v>
      </c>
      <c r="I20" s="475">
        <f t="shared" si="1"/>
        <v>0</v>
      </c>
      <c r="J20" s="600"/>
      <c r="K20" s="1571" t="s">
        <v>532</v>
      </c>
      <c r="L20" s="1572"/>
      <c r="M20" s="1572"/>
      <c r="N20" s="1573"/>
      <c r="AA20" s="589"/>
      <c r="AB20" s="861" t="str">
        <f t="shared" si="14"/>
        <v>FY 2023-24</v>
      </c>
      <c r="AC20" s="716">
        <f t="shared" si="14"/>
        <v>0</v>
      </c>
      <c r="AD20" s="717">
        <f>IF(AND(AC20&lt;=300000),0,
IF(AND(AC20&gt;300000,AND(AC20&lt;=600000)),ROUND((AC20-300000)*5%,0),
IF(AND(AC20&gt;600000,AND(AC20&lt;=900000)),ROUND(15000+(AC20-600000)*10%,0),
IF(AND(AC20&gt;900000,AND(AC20&lt;=1200000)),ROUND(45000+(AC20-900000)*15%,0),
IF(AND(AC20&gt;1200000,AND(AC20&lt;=1500000)),ROUND(90000+(AC20-1200000)*20%,0),
IF(AND(AC20&gt;1500000),ROUND(150000+(AC20-1500000)*30%,0),0))))))</f>
        <v>0</v>
      </c>
      <c r="AE20" s="717">
        <f>MAX(0,MIN(AD20,-(AC20-700000-AD20)))</f>
        <v>0</v>
      </c>
      <c r="AF20" s="717">
        <f>AD20-AE20</f>
        <v>0</v>
      </c>
      <c r="AG20" s="717">
        <f>AF20*0.04</f>
        <v>0</v>
      </c>
      <c r="AH20" s="717">
        <f>AF20+AG20</f>
        <v>0</v>
      </c>
      <c r="AI20" s="589"/>
      <c r="AJ20" s="861" t="s">
        <v>533</v>
      </c>
      <c r="AK20" s="716">
        <f>'10E DATA'!D20+'10E DATA'!E20</f>
        <v>0</v>
      </c>
      <c r="AL20" s="717">
        <f>IF(AND(AK20&lt;=250000),0,
IF(AND(AK20&gt;250000,AND(AK20&lt;=500000)),ROUND((AK20-250000)*5%,0),
IF(AND(AK20&gt;500000,AND(AK20&lt;=1000000)),ROUND(12500+(AK20-500000)*20%,0),
IF(AND(AK20&gt;1000000),ROUND(112500+(AK20-1000000)*30%,0),0))))</f>
        <v>0</v>
      </c>
      <c r="AM20" s="717">
        <f>IF(AC20&lt;=500000,MIN(AL20,12500),0)</f>
        <v>0</v>
      </c>
      <c r="AN20" s="717">
        <f t="shared" si="2"/>
        <v>0</v>
      </c>
      <c r="AO20" s="717">
        <f t="shared" si="13"/>
        <v>0</v>
      </c>
      <c r="AP20" s="717">
        <f t="shared" si="4"/>
        <v>0</v>
      </c>
      <c r="AQ20" s="589"/>
      <c r="AR20" s="861" t="s">
        <v>533</v>
      </c>
      <c r="AS20" s="716">
        <f t="shared" si="7"/>
        <v>0</v>
      </c>
      <c r="AT20" s="717">
        <f t="shared" si="8"/>
        <v>0</v>
      </c>
      <c r="AU20" s="717">
        <f t="shared" si="9"/>
        <v>0</v>
      </c>
      <c r="AV20" s="717">
        <f t="shared" si="10"/>
        <v>0</v>
      </c>
      <c r="AW20" s="717">
        <f t="shared" si="11"/>
        <v>0</v>
      </c>
      <c r="AX20" s="717">
        <f t="shared" si="12"/>
        <v>0</v>
      </c>
      <c r="BN20" s="589"/>
    </row>
    <row r="21" spans="1:66" s="592" customFormat="1" ht="32.450000000000003" customHeight="1" thickBot="1" x14ac:dyDescent="0.25">
      <c r="A21" s="625" t="s">
        <v>534</v>
      </c>
      <c r="B21" s="626" t="s">
        <v>535</v>
      </c>
      <c r="C21" s="715" t="str">
        <f>'ANNEXURE I'!B2</f>
        <v>NEW</v>
      </c>
      <c r="D21" s="629">
        <f>'ANNEXURE II'!T57-E21</f>
        <v>903410</v>
      </c>
      <c r="E21" s="627">
        <f>'10E DATA'!E23</f>
        <v>0</v>
      </c>
      <c r="F21" s="628">
        <f t="shared" si="0"/>
        <v>903410</v>
      </c>
      <c r="G21" s="629">
        <f>IF('10E DATA'!C21="OLD",'10E DATA'!AP41,'10E DATA'!AH41)</f>
        <v>41954.64</v>
      </c>
      <c r="H21" s="629">
        <f>IF('10E DATA'!C21="OLD",'10E DATA'!AP21,'10E DATA'!AH21)</f>
        <v>41954.64</v>
      </c>
      <c r="I21" s="630">
        <f t="shared" si="1"/>
        <v>0</v>
      </c>
      <c r="J21" s="625"/>
      <c r="K21" s="1574"/>
      <c r="L21" s="1575"/>
      <c r="M21" s="1575"/>
      <c r="N21" s="1576"/>
      <c r="AA21" s="589"/>
      <c r="AB21" s="861" t="str">
        <f t="shared" si="14"/>
        <v>FY 2024-25</v>
      </c>
      <c r="AC21" s="716">
        <f t="shared" si="14"/>
        <v>903410</v>
      </c>
      <c r="AD21" s="717">
        <f>IF(AND(AC21&lt;=300000),0,
IF(AND(AC21&gt;300000,AND(AC21&lt;=700000)),ROUND((AC21-300000)*5%,0),
IF(AND(AC21&gt;700000,AND(AC21&lt;=1000000)),ROUND(20000+(AC21-700000)*10%,0),
IF(AND(AC21&gt;1000000,AND(AC21&lt;=1200000)),ROUND(50000+(AC21-1000000)*15%,0),
IF(AND(AC21&gt;1200000,AND(AC21&lt;=1500000)),ROUND(80000+(AC21-1200000)*20%,0),
IF(AND(AC21&gt;1500000),ROUND(140000+(AC21-1500000)*30%,0),0))))))</f>
        <v>40341</v>
      </c>
      <c r="AE21" s="717">
        <f>MAX(0,MIN(AD21,-(AC21-700000-AD21)))</f>
        <v>0</v>
      </c>
      <c r="AF21" s="717">
        <f>AD21-AE21</f>
        <v>40341</v>
      </c>
      <c r="AG21" s="717">
        <f>AF21*0.04</f>
        <v>1613.64</v>
      </c>
      <c r="AH21" s="717">
        <f>AF21+AG21</f>
        <v>41954.64</v>
      </c>
      <c r="AI21" s="589"/>
      <c r="AJ21" s="861" t="s">
        <v>536</v>
      </c>
      <c r="AK21" s="716">
        <f>'10E DATA'!D21+'10E DATA'!E21</f>
        <v>903410</v>
      </c>
      <c r="AL21" s="717">
        <f>IF(AND(AK21&lt;=250000),0,
IF(AND(AK21&gt;250000,AND(AK21&lt;=500000)),ROUND((AK21-250000)*5%,0),
IF(AND(AK21&gt;500000,AND(AK21&lt;=1000000)),ROUND(12500+(AK21-500000)*20%,0),
IF(AND(AK21&gt;1000000),ROUND(112500+(AK21-1000000)*30%,0),0))))</f>
        <v>93182</v>
      </c>
      <c r="AM21" s="717">
        <f>IF(AC21&lt;=500000,MIN(AL21,12500),0)</f>
        <v>0</v>
      </c>
      <c r="AN21" s="717">
        <f t="shared" si="2"/>
        <v>93182</v>
      </c>
      <c r="AO21" s="717">
        <f t="shared" si="13"/>
        <v>3727.28</v>
      </c>
      <c r="AP21" s="717">
        <f t="shared" si="4"/>
        <v>96909.28</v>
      </c>
      <c r="AQ21" s="589"/>
      <c r="AR21" s="861" t="s">
        <v>536</v>
      </c>
      <c r="AS21" s="716">
        <f t="shared" si="7"/>
        <v>903410</v>
      </c>
      <c r="AT21" s="717">
        <f t="shared" si="8"/>
        <v>93182</v>
      </c>
      <c r="AU21" s="717">
        <f t="shared" si="9"/>
        <v>0</v>
      </c>
      <c r="AV21" s="717">
        <f t="shared" si="10"/>
        <v>93182</v>
      </c>
      <c r="AW21" s="717">
        <f t="shared" si="11"/>
        <v>3727.28</v>
      </c>
      <c r="AX21" s="717">
        <f t="shared" si="12"/>
        <v>96909.28</v>
      </c>
      <c r="BN21" s="589"/>
    </row>
    <row r="22" spans="1:66" ht="9.9499999999999993" customHeight="1" thickTop="1" thickBot="1" x14ac:dyDescent="0.3">
      <c r="BN22" s="853"/>
    </row>
    <row r="23" spans="1:66" ht="30" customHeight="1" thickTop="1" thickBot="1" x14ac:dyDescent="0.25">
      <c r="B23" s="631" t="s">
        <v>47</v>
      </c>
      <c r="C23" s="632" t="s">
        <v>537</v>
      </c>
      <c r="D23" s="633">
        <f>SUM('10E DATA'!D7:D20)</f>
        <v>0</v>
      </c>
      <c r="E23" s="633">
        <f>SUM('10E DATA'!E7:E20)</f>
        <v>0</v>
      </c>
      <c r="F23" s="633">
        <f>SUM('10E DATA'!F7:F20)</f>
        <v>0</v>
      </c>
      <c r="G23" s="633">
        <f>SUM('10E DATA'!G7:G20)</f>
        <v>0</v>
      </c>
      <c r="H23" s="633">
        <f>SUM('10E DATA'!H7:H20)</f>
        <v>0</v>
      </c>
      <c r="I23" s="634">
        <f>SUM('10E DATA'!I7:I20)</f>
        <v>0</v>
      </c>
      <c r="K23" s="1577" t="s">
        <v>538</v>
      </c>
      <c r="L23" s="1577"/>
      <c r="M23" s="1577"/>
      <c r="N23" s="1577"/>
      <c r="AB23" s="1537" t="s">
        <v>539</v>
      </c>
      <c r="AC23" s="1537"/>
      <c r="AD23" s="1537"/>
      <c r="AE23" s="1537"/>
      <c r="AF23" s="1537"/>
      <c r="AG23" s="1537"/>
      <c r="AH23" s="1537"/>
      <c r="AJ23" s="1536" t="s">
        <v>540</v>
      </c>
      <c r="AK23" s="1536"/>
      <c r="AL23" s="1536"/>
      <c r="AM23" s="1536"/>
      <c r="AN23" s="1536"/>
      <c r="AO23" s="1536"/>
      <c r="AP23" s="1536"/>
      <c r="AR23" s="1540" t="s">
        <v>541</v>
      </c>
      <c r="AS23" s="1540"/>
      <c r="AT23" s="1540"/>
      <c r="AU23" s="1540"/>
      <c r="AV23" s="1540"/>
      <c r="AW23" s="1540"/>
      <c r="AX23" s="1540"/>
      <c r="BN23" s="589"/>
    </row>
    <row r="24" spans="1:66" ht="30" customHeight="1" thickTop="1" thickBot="1" x14ac:dyDescent="0.25">
      <c r="AA24" s="589"/>
      <c r="AB24" s="635" t="s">
        <v>542</v>
      </c>
      <c r="AC24" s="590" t="s">
        <v>478</v>
      </c>
      <c r="AD24" s="721" t="s">
        <v>479</v>
      </c>
      <c r="AE24" s="591" t="s">
        <v>480</v>
      </c>
      <c r="AF24" s="721" t="s">
        <v>481</v>
      </c>
      <c r="AG24" s="591" t="s">
        <v>482</v>
      </c>
      <c r="AH24" s="590" t="s">
        <v>483</v>
      </c>
      <c r="AI24" s="589"/>
      <c r="AJ24" s="635" t="s">
        <v>542</v>
      </c>
      <c r="AK24" s="590" t="s">
        <v>478</v>
      </c>
      <c r="AL24" s="590" t="s">
        <v>484</v>
      </c>
      <c r="AM24" s="591" t="s">
        <v>480</v>
      </c>
      <c r="AN24" s="721" t="s">
        <v>481</v>
      </c>
      <c r="AO24" s="591" t="s">
        <v>482</v>
      </c>
      <c r="AP24" s="590" t="s">
        <v>483</v>
      </c>
      <c r="AQ24" s="589"/>
      <c r="AR24" s="635" t="s">
        <v>542</v>
      </c>
      <c r="AS24" s="590" t="s">
        <v>478</v>
      </c>
      <c r="AT24" s="651" t="s">
        <v>485</v>
      </c>
      <c r="AU24" s="591" t="s">
        <v>480</v>
      </c>
      <c r="AV24" s="721" t="s">
        <v>481</v>
      </c>
      <c r="AW24" s="591" t="s">
        <v>482</v>
      </c>
      <c r="AX24" s="590" t="s">
        <v>483</v>
      </c>
      <c r="BN24" s="589"/>
    </row>
    <row r="25" spans="1:66" ht="27.95" customHeight="1" thickTop="1" thickBot="1" x14ac:dyDescent="0.3">
      <c r="B25" s="636" t="s">
        <v>543</v>
      </c>
      <c r="C25" s="637" t="s">
        <v>544</v>
      </c>
      <c r="D25" s="867"/>
      <c r="E25" s="638">
        <f>I21</f>
        <v>0</v>
      </c>
      <c r="F25" s="639" t="s">
        <v>545</v>
      </c>
      <c r="G25" s="638">
        <f>I23</f>
        <v>0</v>
      </c>
      <c r="H25" s="867" t="s">
        <v>546</v>
      </c>
      <c r="I25" s="640">
        <f>N14</f>
        <v>0</v>
      </c>
      <c r="K25" s="1557" t="s">
        <v>547</v>
      </c>
      <c r="L25" s="1558"/>
      <c r="M25" s="1558"/>
      <c r="N25" s="1559"/>
      <c r="AA25" s="589"/>
      <c r="AB25" s="593" t="s">
        <v>486</v>
      </c>
      <c r="AC25" s="858" t="s">
        <v>414</v>
      </c>
      <c r="AD25" s="858" t="s">
        <v>431</v>
      </c>
      <c r="AE25" s="858" t="s">
        <v>448</v>
      </c>
      <c r="AF25" s="858" t="s">
        <v>487</v>
      </c>
      <c r="AG25" s="858" t="s">
        <v>488</v>
      </c>
      <c r="AH25" s="858" t="s">
        <v>489</v>
      </c>
      <c r="AI25" s="589"/>
      <c r="AJ25" s="593" t="s">
        <v>486</v>
      </c>
      <c r="AK25" s="858" t="s">
        <v>414</v>
      </c>
      <c r="AL25" s="858" t="s">
        <v>415</v>
      </c>
      <c r="AM25" s="858" t="s">
        <v>416</v>
      </c>
      <c r="AN25" s="858" t="s">
        <v>417</v>
      </c>
      <c r="AO25" s="858" t="s">
        <v>490</v>
      </c>
      <c r="AP25" s="858" t="s">
        <v>491</v>
      </c>
      <c r="AQ25" s="589"/>
      <c r="AR25" s="593" t="s">
        <v>486</v>
      </c>
      <c r="AS25" s="858" t="s">
        <v>414</v>
      </c>
      <c r="AT25" s="858" t="s">
        <v>415</v>
      </c>
      <c r="AU25" s="858" t="s">
        <v>416</v>
      </c>
      <c r="AV25" s="858" t="s">
        <v>417</v>
      </c>
      <c r="AW25" s="858" t="s">
        <v>490</v>
      </c>
      <c r="AX25" s="858" t="s">
        <v>491</v>
      </c>
      <c r="BN25" s="589"/>
    </row>
    <row r="26" spans="1:66" s="592" customFormat="1" ht="27.95" customHeight="1" thickTop="1" x14ac:dyDescent="0.25">
      <c r="J26" s="641"/>
      <c r="AA26" s="589"/>
      <c r="AB26" s="859" t="s">
        <v>500</v>
      </c>
      <c r="AC26" s="859"/>
      <c r="AD26" s="859"/>
      <c r="AE26" s="859"/>
      <c r="AF26" s="599" t="s">
        <v>501</v>
      </c>
      <c r="AG26" s="859"/>
      <c r="AH26" s="859" t="s">
        <v>502</v>
      </c>
      <c r="AI26" s="589"/>
      <c r="AJ26" s="859" t="s">
        <v>503</v>
      </c>
      <c r="AK26" s="859"/>
      <c r="AL26" s="859"/>
      <c r="AM26" s="859"/>
      <c r="AN26" s="599" t="s">
        <v>504</v>
      </c>
      <c r="AO26" s="859"/>
      <c r="AP26" s="859" t="s">
        <v>505</v>
      </c>
      <c r="AQ26" s="589"/>
      <c r="AR26" s="859" t="s">
        <v>503</v>
      </c>
      <c r="AS26" s="859"/>
      <c r="AT26" s="859"/>
      <c r="AU26" s="859"/>
      <c r="AV26" s="599" t="s">
        <v>504</v>
      </c>
      <c r="AW26" s="859"/>
      <c r="AX26" s="859" t="s">
        <v>505</v>
      </c>
      <c r="BN26" s="853"/>
    </row>
    <row r="27" spans="1:66" ht="32.450000000000003" customHeight="1" x14ac:dyDescent="0.25">
      <c r="J27" s="592" t="s">
        <v>548</v>
      </c>
      <c r="L27" s="642"/>
      <c r="M27" s="642"/>
      <c r="N27" s="643"/>
      <c r="AB27" s="860"/>
      <c r="AC27" s="719"/>
      <c r="AD27" s="720"/>
      <c r="AE27" s="720"/>
      <c r="AF27" s="720"/>
      <c r="AG27" s="720"/>
      <c r="AH27" s="720"/>
      <c r="AJ27" s="861" t="s">
        <v>508</v>
      </c>
      <c r="AK27" s="716">
        <f>'10E DATA'!D7</f>
        <v>0</v>
      </c>
      <c r="AL27" s="717">
        <f>IF(AK27&lt;=160000,0,
IF(AND(AK27&gt;160000,AK27&lt;=500000),(AK27-160000)*0.1,
IF(AND(AK27&gt;500000,AK27&lt;=800000),(AK27-500000)*0.2+34000,
IF(AK27&gt;800000,(AK27-800000)*0.3+94000))))</f>
        <v>0</v>
      </c>
      <c r="AM27" s="718"/>
      <c r="AN27" s="717">
        <f t="shared" ref="AN27:AN41" si="15">AL27-AM27</f>
        <v>0</v>
      </c>
      <c r="AO27" s="717">
        <f t="shared" ref="AO27:AO34" si="16">AN27*0.03</f>
        <v>0</v>
      </c>
      <c r="AP27" s="717">
        <f t="shared" ref="AP27:AP41" si="17">AN27+AO27</f>
        <v>0</v>
      </c>
      <c r="AR27" s="862" t="s">
        <v>508</v>
      </c>
      <c r="AS27" s="741">
        <f>AK27</f>
        <v>0</v>
      </c>
      <c r="AT27" s="742">
        <f>IF(AS27&lt;=190000,0,IF(AS27&lt;=500000,((AS27-190000)*0.1),IF(AS27&lt;=800000,((AS27-500000)*0.2+31000),(((AS27-800000)*0.3)+91000))))</f>
        <v>0</v>
      </c>
      <c r="AU27" s="742"/>
      <c r="AV27" s="742">
        <f>AT27-AU27</f>
        <v>0</v>
      </c>
      <c r="AW27" s="742">
        <f>AV27*0.03</f>
        <v>0</v>
      </c>
      <c r="AX27" s="742">
        <f>AV27+AW27</f>
        <v>0</v>
      </c>
      <c r="BN27" s="853"/>
    </row>
    <row r="28" spans="1:66" ht="32.450000000000003" customHeight="1" x14ac:dyDescent="0.25">
      <c r="K28" s="644"/>
      <c r="L28" s="645"/>
      <c r="M28" s="645"/>
      <c r="N28" s="646"/>
      <c r="AB28" s="860"/>
      <c r="AC28" s="719"/>
      <c r="AD28" s="720"/>
      <c r="AE28" s="720"/>
      <c r="AF28" s="720"/>
      <c r="AG28" s="720"/>
      <c r="AH28" s="720"/>
      <c r="AJ28" s="861" t="s">
        <v>510</v>
      </c>
      <c r="AK28" s="716">
        <f>'10E DATA'!D8</f>
        <v>0</v>
      </c>
      <c r="AL28" s="717">
        <f>IF(AK28&lt;=180000,0,
IF(AND(AK28&gt;180000,AK28&lt;=500000),(AK28-180000)*0.1,
IF(AND(AK28&gt;500000,AK28&lt;=800000),(AK28-500000)*0.2+32000,
IF(AK28&gt;800000,(AK28-800000)*0.3+92000))))</f>
        <v>0</v>
      </c>
      <c r="AM28" s="718"/>
      <c r="AN28" s="717">
        <f t="shared" si="15"/>
        <v>0</v>
      </c>
      <c r="AO28" s="717">
        <f t="shared" si="16"/>
        <v>0</v>
      </c>
      <c r="AP28" s="717">
        <f t="shared" si="17"/>
        <v>0</v>
      </c>
      <c r="AR28" s="862" t="s">
        <v>510</v>
      </c>
      <c r="AS28" s="741">
        <f>AK28</f>
        <v>0</v>
      </c>
      <c r="AT28" s="742">
        <f>IF(AS28&lt;=190000,0,IF(AS28&lt;=500000,((AS28-190000)*0.1),IF(AS28&lt;=800000,((AS28-500000)*0.2+31000),(((AS28-800000)*0.3)+91000))))</f>
        <v>0</v>
      </c>
      <c r="AU28" s="742"/>
      <c r="AV28" s="742">
        <f>AT28-AU28</f>
        <v>0</v>
      </c>
      <c r="AW28" s="742">
        <f>AV28*0.03</f>
        <v>0</v>
      </c>
      <c r="AX28" s="742">
        <f>AV28+AW28</f>
        <v>0</v>
      </c>
      <c r="BN28" s="853"/>
    </row>
    <row r="29" spans="1:66" ht="32.450000000000003" customHeight="1" x14ac:dyDescent="0.25">
      <c r="K29" s="644"/>
      <c r="L29" s="645"/>
      <c r="M29" s="645"/>
      <c r="N29" s="646"/>
      <c r="AB29" s="860"/>
      <c r="AC29" s="719"/>
      <c r="AD29" s="720"/>
      <c r="AE29" s="720"/>
      <c r="AF29" s="720"/>
      <c r="AG29" s="720"/>
      <c r="AH29" s="720"/>
      <c r="AJ29" s="861" t="s">
        <v>513</v>
      </c>
      <c r="AK29" s="716">
        <f>'10E DATA'!D9</f>
        <v>0</v>
      </c>
      <c r="AL29" s="717">
        <f>IF(AK29&lt;=200000,0,
IF(AND(AK29&gt;200000,AK29&lt;=500000),(AK29-200000)*0.1,
IF(AND(AK29&gt;500000,AK29&lt;=1000000),(AK29-500000)*0.2+30000,
IF(AK29&gt;1000000,(AK29-1000000)*0.3+130000))))</f>
        <v>0</v>
      </c>
      <c r="AM29" s="718"/>
      <c r="AN29" s="717">
        <f t="shared" si="15"/>
        <v>0</v>
      </c>
      <c r="AO29" s="717">
        <f t="shared" si="16"/>
        <v>0</v>
      </c>
      <c r="AP29" s="717">
        <f t="shared" si="17"/>
        <v>0</v>
      </c>
      <c r="AR29" s="862" t="s">
        <v>513</v>
      </c>
      <c r="AS29" s="741">
        <f>AK29</f>
        <v>0</v>
      </c>
      <c r="AT29" s="742">
        <f>IF(AS29&lt;=200000,0,
  IF(AS29&lt;=500000,((AS29-200000)*0.1),
  IF(AS29&lt;=1000000,((AS29-500000)*0.2+30000),(((AS29-1000000)*0.3)+130000))))</f>
        <v>0</v>
      </c>
      <c r="AU29" s="742"/>
      <c r="AV29" s="742">
        <f>AT29-AU29</f>
        <v>0</v>
      </c>
      <c r="AW29" s="742">
        <f>AV29*0.03</f>
        <v>0</v>
      </c>
      <c r="AX29" s="742">
        <f>AV29+AW29</f>
        <v>0</v>
      </c>
      <c r="BN29" s="853"/>
    </row>
    <row r="30" spans="1:66" ht="32.450000000000003" customHeight="1" x14ac:dyDescent="0.25">
      <c r="K30" s="644"/>
      <c r="L30" s="647"/>
      <c r="M30" s="647"/>
      <c r="N30" s="646"/>
      <c r="AB30" s="860"/>
      <c r="AC30" s="719"/>
      <c r="AD30" s="720"/>
      <c r="AE30" s="720"/>
      <c r="AF30" s="720"/>
      <c r="AG30" s="720"/>
      <c r="AH30" s="720"/>
      <c r="AJ30" s="861" t="s">
        <v>515</v>
      </c>
      <c r="AK30" s="716">
        <f>'10E DATA'!D10</f>
        <v>0</v>
      </c>
      <c r="AL30" s="717">
        <f>IF(AK30&lt;=200000,0,
IF(AND(AK30&gt;200000,AK30&lt;=500000),(AK30-200000)*0.1,
IF(AND(AK30&gt;500000,AK30&lt;=1000000),(AK30-500000)*0.2+30000,
IF(AK30&gt;1000000,(AK30-1000000)*0.3+130000))))</f>
        <v>0</v>
      </c>
      <c r="AM30" s="717">
        <f>IF(AK30&lt;=500000,MIN(AL30,2000),0)</f>
        <v>0</v>
      </c>
      <c r="AN30" s="717">
        <f t="shared" si="15"/>
        <v>0</v>
      </c>
      <c r="AO30" s="717">
        <f t="shared" si="16"/>
        <v>0</v>
      </c>
      <c r="AP30" s="717">
        <f t="shared" si="17"/>
        <v>0</v>
      </c>
      <c r="AR30" s="861" t="s">
        <v>515</v>
      </c>
      <c r="AS30" s="716">
        <f>AK30</f>
        <v>0</v>
      </c>
      <c r="AT30" s="717">
        <f>AL30</f>
        <v>0</v>
      </c>
      <c r="AU30" s="717">
        <f t="shared" ref="AU30:AU40" si="18">AM30</f>
        <v>0</v>
      </c>
      <c r="AV30" s="717">
        <f t="shared" ref="AV30:AV40" si="19">AN30</f>
        <v>0</v>
      </c>
      <c r="AW30" s="717">
        <f t="shared" ref="AW30:AW40" si="20">AO30</f>
        <v>0</v>
      </c>
      <c r="AX30" s="717">
        <f t="shared" ref="AX30:AX40" si="21">AP30</f>
        <v>0</v>
      </c>
      <c r="BN30" s="853"/>
    </row>
    <row r="31" spans="1:66" ht="32.450000000000003" customHeight="1" x14ac:dyDescent="0.25">
      <c r="AB31" s="860"/>
      <c r="AC31" s="719"/>
      <c r="AD31" s="720"/>
      <c r="AE31" s="720"/>
      <c r="AF31" s="720"/>
      <c r="AG31" s="720"/>
      <c r="AH31" s="720"/>
      <c r="AJ31" s="861" t="s">
        <v>517</v>
      </c>
      <c r="AK31" s="716">
        <f>'10E DATA'!D11</f>
        <v>0</v>
      </c>
      <c r="AL31" s="717">
        <f>IF(AK31&lt;=250000,0,
IF(AND(AK31&gt;250000,AK31&lt;=500000),(AK31-250000)*0.1,
IF(AND(AK31&gt;500000,AK31&lt;=1000000),(AK31-500000)*0.2+25000,
IF(AK31&gt;1000000,(AK31-1000000)*0.3+125000))))</f>
        <v>0</v>
      </c>
      <c r="AM31" s="717">
        <f>IF(AK31&lt;=500000,MIN(AL31,2000),0)</f>
        <v>0</v>
      </c>
      <c r="AN31" s="717">
        <f t="shared" si="15"/>
        <v>0</v>
      </c>
      <c r="AO31" s="717">
        <f t="shared" si="16"/>
        <v>0</v>
      </c>
      <c r="AP31" s="717">
        <f t="shared" si="17"/>
        <v>0</v>
      </c>
      <c r="AR31" s="861" t="s">
        <v>517</v>
      </c>
      <c r="AS31" s="716">
        <f t="shared" ref="AS31:AS40" si="22">AK31</f>
        <v>0</v>
      </c>
      <c r="AT31" s="717">
        <f t="shared" ref="AT31:AT40" si="23">AL31</f>
        <v>0</v>
      </c>
      <c r="AU31" s="717">
        <f t="shared" si="18"/>
        <v>0</v>
      </c>
      <c r="AV31" s="717">
        <f t="shared" si="19"/>
        <v>0</v>
      </c>
      <c r="AW31" s="717">
        <f t="shared" si="20"/>
        <v>0</v>
      </c>
      <c r="AX31" s="717">
        <f t="shared" si="21"/>
        <v>0</v>
      </c>
      <c r="BN31" s="853"/>
    </row>
    <row r="32" spans="1:66" ht="32.450000000000003" customHeight="1" x14ac:dyDescent="0.25">
      <c r="B32" s="648"/>
      <c r="C32" s="648"/>
      <c r="D32" s="648"/>
      <c r="E32" s="648"/>
      <c r="F32" s="648"/>
      <c r="G32" s="648"/>
      <c r="H32" s="648"/>
      <c r="I32" s="649"/>
      <c r="AB32" s="860"/>
      <c r="AC32" s="719"/>
      <c r="AD32" s="720"/>
      <c r="AE32" s="720"/>
      <c r="AF32" s="720"/>
      <c r="AG32" s="720"/>
      <c r="AH32" s="720"/>
      <c r="AJ32" s="861" t="s">
        <v>520</v>
      </c>
      <c r="AK32" s="716">
        <f>'10E DATA'!D12</f>
        <v>0</v>
      </c>
      <c r="AL32" s="717">
        <f>IF(AK32&lt;=250000,0,
IF(AND(AK32&gt;250000,AK32&lt;=500000),(AK32-250000)*0.1,
IF(AND(AK32&gt;500000,AK32&lt;=1000000),(AK32-500000)*0.2+25000,
IF(AK32&gt;1000000,(AK32-1000000)*0.3+125000))))</f>
        <v>0</v>
      </c>
      <c r="AM32" s="717">
        <f>IF(AK32&lt;=500000,MIN(AL32,2000),0)</f>
        <v>0</v>
      </c>
      <c r="AN32" s="717">
        <f t="shared" si="15"/>
        <v>0</v>
      </c>
      <c r="AO32" s="717">
        <f t="shared" si="16"/>
        <v>0</v>
      </c>
      <c r="AP32" s="717">
        <f t="shared" si="17"/>
        <v>0</v>
      </c>
      <c r="AR32" s="861" t="s">
        <v>520</v>
      </c>
      <c r="AS32" s="716">
        <f t="shared" si="22"/>
        <v>0</v>
      </c>
      <c r="AT32" s="717">
        <f t="shared" si="23"/>
        <v>0</v>
      </c>
      <c r="AU32" s="717">
        <f t="shared" si="18"/>
        <v>0</v>
      </c>
      <c r="AV32" s="717">
        <f t="shared" si="19"/>
        <v>0</v>
      </c>
      <c r="AW32" s="717">
        <f t="shared" si="20"/>
        <v>0</v>
      </c>
      <c r="AX32" s="717">
        <f t="shared" si="21"/>
        <v>0</v>
      </c>
      <c r="BN32" s="853"/>
    </row>
    <row r="33" spans="2:66" ht="32.450000000000003" customHeight="1" x14ac:dyDescent="0.25">
      <c r="B33" s="648"/>
      <c r="C33" s="648"/>
      <c r="D33" s="648"/>
      <c r="E33" s="648"/>
      <c r="F33" s="648"/>
      <c r="G33" s="648"/>
      <c r="H33" s="648"/>
      <c r="I33" s="649"/>
      <c r="AB33" s="860"/>
      <c r="AC33" s="719"/>
      <c r="AD33" s="720"/>
      <c r="AE33" s="720"/>
      <c r="AF33" s="720"/>
      <c r="AG33" s="720"/>
      <c r="AH33" s="720"/>
      <c r="AJ33" s="861" t="s">
        <v>523</v>
      </c>
      <c r="AK33" s="716">
        <f>'10E DATA'!D13</f>
        <v>0</v>
      </c>
      <c r="AL33" s="717">
        <f>IF(AK33&lt;=250000,0,
IF(AND(AK33&gt;250000,AK33&lt;=500000),(AK33-250000)*0.1,
IF(AND(AK33&gt;500000,AK33&lt;=1000000),(AK33-500000)*0.2+25000,
IF(AK33&gt;1000000,(AK33-1000000)*0.3+125000))))</f>
        <v>0</v>
      </c>
      <c r="AM33" s="717">
        <f>IF(AK33&lt;=500000,MIN(AL33,5000),0)</f>
        <v>0</v>
      </c>
      <c r="AN33" s="717">
        <f t="shared" si="15"/>
        <v>0</v>
      </c>
      <c r="AO33" s="717">
        <f t="shared" si="16"/>
        <v>0</v>
      </c>
      <c r="AP33" s="717">
        <f t="shared" si="17"/>
        <v>0</v>
      </c>
      <c r="AR33" s="861" t="s">
        <v>523</v>
      </c>
      <c r="AS33" s="716">
        <f t="shared" si="22"/>
        <v>0</v>
      </c>
      <c r="AT33" s="717">
        <f t="shared" si="23"/>
        <v>0</v>
      </c>
      <c r="AU33" s="717">
        <f t="shared" si="18"/>
        <v>0</v>
      </c>
      <c r="AV33" s="717">
        <f t="shared" si="19"/>
        <v>0</v>
      </c>
      <c r="AW33" s="717">
        <f t="shared" si="20"/>
        <v>0</v>
      </c>
      <c r="AX33" s="717">
        <f t="shared" si="21"/>
        <v>0</v>
      </c>
      <c r="BN33" s="853"/>
    </row>
    <row r="34" spans="2:66" ht="32.450000000000003" customHeight="1" x14ac:dyDescent="0.25">
      <c r="B34" s="648"/>
      <c r="C34" s="648"/>
      <c r="D34" s="648"/>
      <c r="E34" s="648"/>
      <c r="F34" s="648"/>
      <c r="G34" s="648"/>
      <c r="H34" s="648"/>
      <c r="I34" s="649"/>
      <c r="AB34" s="860"/>
      <c r="AC34" s="719"/>
      <c r="AD34" s="720"/>
      <c r="AE34" s="720"/>
      <c r="AF34" s="720"/>
      <c r="AG34" s="720"/>
      <c r="AH34" s="720"/>
      <c r="AJ34" s="861" t="s">
        <v>525</v>
      </c>
      <c r="AK34" s="716">
        <f>'10E DATA'!D14</f>
        <v>0</v>
      </c>
      <c r="AL34" s="717">
        <f>IF(AK34&lt;=250000,0,
IF(AND(AK34&gt;250000,AK34&lt;=500000),(AK34-250000)*0.05,
IF(AND(AK34&gt;500000,AK34&lt;=1000000),(AK34-500000)*0.2+12500,
IF(AK34&gt;1000000,(AK34-1000000)*0.3+112500))))</f>
        <v>0</v>
      </c>
      <c r="AM34" s="717">
        <f>IF(AK34&lt;=350000,MIN(AL34,2500),0)</f>
        <v>0</v>
      </c>
      <c r="AN34" s="717">
        <f t="shared" si="15"/>
        <v>0</v>
      </c>
      <c r="AO34" s="717">
        <f t="shared" si="16"/>
        <v>0</v>
      </c>
      <c r="AP34" s="717">
        <f t="shared" si="17"/>
        <v>0</v>
      </c>
      <c r="AR34" s="861" t="s">
        <v>525</v>
      </c>
      <c r="AS34" s="716">
        <f t="shared" si="22"/>
        <v>0</v>
      </c>
      <c r="AT34" s="717">
        <f t="shared" si="23"/>
        <v>0</v>
      </c>
      <c r="AU34" s="717">
        <f t="shared" si="18"/>
        <v>0</v>
      </c>
      <c r="AV34" s="717">
        <f t="shared" si="19"/>
        <v>0</v>
      </c>
      <c r="AW34" s="717">
        <f t="shared" si="20"/>
        <v>0</v>
      </c>
      <c r="AX34" s="717">
        <f t="shared" si="21"/>
        <v>0</v>
      </c>
      <c r="BN34" s="853"/>
    </row>
    <row r="35" spans="2:66" ht="32.450000000000003" customHeight="1" x14ac:dyDescent="0.25">
      <c r="B35" s="648"/>
      <c r="C35" s="648"/>
      <c r="D35" s="648"/>
      <c r="E35" s="648"/>
      <c r="F35" s="648"/>
      <c r="G35" s="648"/>
      <c r="H35" s="648"/>
      <c r="I35" s="649"/>
      <c r="AB35" s="860"/>
      <c r="AC35" s="719"/>
      <c r="AD35" s="720"/>
      <c r="AE35" s="720"/>
      <c r="AF35" s="720"/>
      <c r="AG35" s="720"/>
      <c r="AH35" s="720"/>
      <c r="AJ35" s="861" t="s">
        <v>526</v>
      </c>
      <c r="AK35" s="716">
        <f>'10E DATA'!D15</f>
        <v>0</v>
      </c>
      <c r="AL35" s="717">
        <f>IF(AK35&lt;=250000,0,
IF(AND(AK35&gt;250000,AK35&lt;=500000),(AK35-250000)*0.05,
IF(AND(AK35&gt;500000,AK35&lt;=1000000),(AK35-500000)*0.2+12500,
IF(AK35&gt;1000000,(AK35-1000000)*0.3+112500))))</f>
        <v>0</v>
      </c>
      <c r="AM35" s="717">
        <f>IF(AK35&lt;=350000,MIN(AL35,2500),0)</f>
        <v>0</v>
      </c>
      <c r="AN35" s="717">
        <f t="shared" si="15"/>
        <v>0</v>
      </c>
      <c r="AO35" s="717">
        <f t="shared" ref="AO35:AO41" si="24">AN35*0.04</f>
        <v>0</v>
      </c>
      <c r="AP35" s="717">
        <f t="shared" si="17"/>
        <v>0</v>
      </c>
      <c r="AR35" s="861" t="s">
        <v>526</v>
      </c>
      <c r="AS35" s="716">
        <f t="shared" si="22"/>
        <v>0</v>
      </c>
      <c r="AT35" s="717">
        <f t="shared" si="23"/>
        <v>0</v>
      </c>
      <c r="AU35" s="717">
        <f t="shared" si="18"/>
        <v>0</v>
      </c>
      <c r="AV35" s="717">
        <f t="shared" si="19"/>
        <v>0</v>
      </c>
      <c r="AW35" s="717">
        <f t="shared" si="20"/>
        <v>0</v>
      </c>
      <c r="AX35" s="717">
        <f t="shared" si="21"/>
        <v>0</v>
      </c>
      <c r="BN35" s="853"/>
    </row>
    <row r="36" spans="2:66" ht="32.450000000000003" customHeight="1" x14ac:dyDescent="0.25">
      <c r="B36" s="648"/>
      <c r="C36" s="650"/>
      <c r="D36" s="650"/>
      <c r="E36" s="650"/>
      <c r="F36" s="650"/>
      <c r="G36" s="650"/>
      <c r="H36" s="650"/>
      <c r="I36" s="649"/>
      <c r="AB36" s="860"/>
      <c r="AC36" s="719"/>
      <c r="AD36" s="720"/>
      <c r="AE36" s="720"/>
      <c r="AF36" s="720"/>
      <c r="AG36" s="720"/>
      <c r="AH36" s="720"/>
      <c r="AJ36" s="861" t="s">
        <v>528</v>
      </c>
      <c r="AK36" s="716">
        <f>'10E DATA'!D16</f>
        <v>0</v>
      </c>
      <c r="AL36" s="717">
        <f>IF(AK36&lt;=250000,0,
IF(AND(AK36&gt;250000,AK36&lt;=500000),(AK36-250000)*0.05,
IF(AND(AK36&gt;500000,AK36&lt;=1000000),(AK36-500000)*0.2+12500,
IF(AK36&gt;1000000,(AK36-1000000)*0.3+112500))))</f>
        <v>0</v>
      </c>
      <c r="AM36" s="717">
        <f>IF(AK36&lt;=500000,MIN(AL36,12500),0)</f>
        <v>0</v>
      </c>
      <c r="AN36" s="717">
        <f t="shared" si="15"/>
        <v>0</v>
      </c>
      <c r="AO36" s="717">
        <f t="shared" si="24"/>
        <v>0</v>
      </c>
      <c r="AP36" s="717">
        <f t="shared" si="17"/>
        <v>0</v>
      </c>
      <c r="AR36" s="861" t="s">
        <v>528</v>
      </c>
      <c r="AS36" s="716">
        <f t="shared" si="22"/>
        <v>0</v>
      </c>
      <c r="AT36" s="717">
        <f t="shared" si="23"/>
        <v>0</v>
      </c>
      <c r="AU36" s="717">
        <f t="shared" si="18"/>
        <v>0</v>
      </c>
      <c r="AV36" s="717">
        <f t="shared" si="19"/>
        <v>0</v>
      </c>
      <c r="AW36" s="717">
        <f t="shared" si="20"/>
        <v>0</v>
      </c>
      <c r="AX36" s="717">
        <f t="shared" si="21"/>
        <v>0</v>
      </c>
      <c r="BN36" s="853"/>
    </row>
    <row r="37" spans="2:66" ht="32.450000000000003" customHeight="1" x14ac:dyDescent="0.2">
      <c r="B37" s="648"/>
      <c r="C37" s="650"/>
      <c r="D37" s="650"/>
      <c r="E37" s="650"/>
      <c r="F37" s="650"/>
      <c r="G37" s="650"/>
      <c r="H37" s="650"/>
      <c r="I37" s="649"/>
      <c r="AB37" s="861" t="str">
        <f t="shared" ref="AB37:AC41" si="25">AJ37</f>
        <v>FY 2020-21</v>
      </c>
      <c r="AC37" s="716">
        <f t="shared" si="25"/>
        <v>0</v>
      </c>
      <c r="AD37" s="717">
        <f>IF(AND(AC37&lt;=250000),0,
IF(AND(AC37&gt;250000,AND(AC37&lt;=500000)),ROUND((AC37-250000)*5%,0),
IF(AND(AC37&gt;500000,AND(AC37&lt;=750000)),ROUND(12500+(AC37-500000)*10%,0),
IF(AND(AC37&gt;750000,AND(AC37&lt;=1000000)),ROUND(37500+(AC37-750000)*15%,0),
IF(AND(AC37&gt;1000000,AND(AC37&lt;=1250000)),ROUND(75000+(AC37-1000000)*20%,0),
IF(AND(AC37&gt;1250000,AND(AC37&lt;=1500000)),ROUND(125000+(AC37-1250000)*25%,0),
IF(AND(AC37&gt;1500000),ROUND(187500+(AC37-1500000)*30%,0),0)))))))</f>
        <v>0</v>
      </c>
      <c r="AE37" s="717">
        <f>IF(AK37&lt;=500000,MIN(AD37,12500),0)</f>
        <v>0</v>
      </c>
      <c r="AF37" s="717">
        <f>AD37-AE37</f>
        <v>0</v>
      </c>
      <c r="AG37" s="717">
        <f>AF37*0.04</f>
        <v>0</v>
      </c>
      <c r="AH37" s="717">
        <f>AF37+AG37</f>
        <v>0</v>
      </c>
      <c r="AJ37" s="861" t="s">
        <v>529</v>
      </c>
      <c r="AK37" s="716">
        <f>'10E DATA'!D17</f>
        <v>0</v>
      </c>
      <c r="AL37" s="717">
        <f>IF(AND(AK37&lt;=250000),0,
  IF(AND(AK37&gt;250000,AND(AK37&lt;=500000)),ROUND((AK37-250000)*5%,0),
  IF(AND(AK37&gt;500000,AND(AK37&lt;=1000000)),ROUND(12500+(AK37-500000)*20%,0),
  IF(AND(AK37&gt;1000000),ROUND(112500+(AK37-1000000)*30%,0),0))))</f>
        <v>0</v>
      </c>
      <c r="AM37" s="717">
        <f>IF(AK37&lt;=500000,MIN(AL37,12500),0)</f>
        <v>0</v>
      </c>
      <c r="AN37" s="717">
        <f t="shared" si="15"/>
        <v>0</v>
      </c>
      <c r="AO37" s="717">
        <f t="shared" si="24"/>
        <v>0</v>
      </c>
      <c r="AP37" s="717">
        <f t="shared" si="17"/>
        <v>0</v>
      </c>
      <c r="AR37" s="861" t="s">
        <v>529</v>
      </c>
      <c r="AS37" s="716">
        <f t="shared" si="22"/>
        <v>0</v>
      </c>
      <c r="AT37" s="717">
        <f t="shared" si="23"/>
        <v>0</v>
      </c>
      <c r="AU37" s="717">
        <f t="shared" si="18"/>
        <v>0</v>
      </c>
      <c r="AV37" s="717">
        <f t="shared" si="19"/>
        <v>0</v>
      </c>
      <c r="AW37" s="717">
        <f t="shared" si="20"/>
        <v>0</v>
      </c>
      <c r="AX37" s="717">
        <f t="shared" si="21"/>
        <v>0</v>
      </c>
      <c r="BN37" s="589"/>
    </row>
    <row r="38" spans="2:66" ht="32.450000000000003" customHeight="1" x14ac:dyDescent="0.2">
      <c r="AA38" s="589"/>
      <c r="AB38" s="861" t="str">
        <f t="shared" si="25"/>
        <v>FY 2021-22</v>
      </c>
      <c r="AC38" s="716">
        <f t="shared" si="25"/>
        <v>0</v>
      </c>
      <c r="AD38" s="717">
        <f>IF(AND(AC38&lt;=250000),0,
IF(AND(AC38&gt;250000,AND(AC38&lt;=500000)),ROUND((AC38-250000)*5%,0),
IF(AND(AC38&gt;500000,AND(AC38&lt;=750000)),ROUND(12500+(AC38-500000)*10%,0),
IF(AND(AC38&gt;750000,AND(AC38&lt;=1000000)),ROUND(37500+(AC38-750000)*15%,0),
IF(AND(AC38&gt;1000000,AND(AC38&lt;=1250000)),ROUND(75000+(AC38-1000000)*20%,0),
IF(AND(AC38&gt;1250000,AND(AC38&lt;=1500000)),ROUND(125000+(AC38-1250000)*25%,0),
IF(AND(AC38&gt;1500000),ROUND(187500+(AC38-1500000)*30%,0),0)))))))</f>
        <v>0</v>
      </c>
      <c r="AE38" s="717">
        <f>IF(AK38&lt;=500000,MIN(AD38,12500),0)</f>
        <v>0</v>
      </c>
      <c r="AF38" s="717">
        <f>AD38-AE38</f>
        <v>0</v>
      </c>
      <c r="AG38" s="717">
        <f>AF38*0.04</f>
        <v>0</v>
      </c>
      <c r="AH38" s="717">
        <f>AF38+AG38</f>
        <v>0</v>
      </c>
      <c r="AI38" s="589"/>
      <c r="AJ38" s="861" t="s">
        <v>530</v>
      </c>
      <c r="AK38" s="716">
        <f>'10E DATA'!D18</f>
        <v>0</v>
      </c>
      <c r="AL38" s="717">
        <f>IF(AND(AK38&lt;=250000),0,
IF(AND(AK38&gt;250000,AND(AK38&lt;=500000)),ROUND((AK38-250000)*5%,0),
IF(AND(AK38&gt;500000,AND(AK38&lt;=1000000)),ROUND(12500+(AK38-500000)*20%,0),
IF(AND(AK38&gt;1000000),ROUND(112500+(AK38-1000000)*30%,0),0))))</f>
        <v>0</v>
      </c>
      <c r="AM38" s="717">
        <f>IF(AK38&lt;=500000,MIN(AL38,12500),0)</f>
        <v>0</v>
      </c>
      <c r="AN38" s="717">
        <f t="shared" si="15"/>
        <v>0</v>
      </c>
      <c r="AO38" s="717">
        <f t="shared" si="24"/>
        <v>0</v>
      </c>
      <c r="AP38" s="717">
        <f t="shared" si="17"/>
        <v>0</v>
      </c>
      <c r="AQ38" s="589"/>
      <c r="AR38" s="861" t="s">
        <v>530</v>
      </c>
      <c r="AS38" s="716">
        <f t="shared" si="22"/>
        <v>0</v>
      </c>
      <c r="AT38" s="717">
        <f t="shared" si="23"/>
        <v>0</v>
      </c>
      <c r="AU38" s="717">
        <f t="shared" si="18"/>
        <v>0</v>
      </c>
      <c r="AV38" s="717">
        <f t="shared" si="19"/>
        <v>0</v>
      </c>
      <c r="AW38" s="717">
        <f t="shared" si="20"/>
        <v>0</v>
      </c>
      <c r="AX38" s="717">
        <f t="shared" si="21"/>
        <v>0</v>
      </c>
      <c r="BN38" s="589"/>
    </row>
    <row r="39" spans="2:66" ht="32.450000000000003" customHeight="1" x14ac:dyDescent="0.2">
      <c r="AA39" s="589"/>
      <c r="AB39" s="861" t="str">
        <f t="shared" si="25"/>
        <v>FY 2022-23</v>
      </c>
      <c r="AC39" s="716">
        <f t="shared" si="25"/>
        <v>0</v>
      </c>
      <c r="AD39" s="717">
        <f>IF(AND(AC39&lt;=250000),0,
IF(AND(AC39&gt;250000,AND(AC39&lt;=500000)),ROUND((AC39-250000)*5%,0),
IF(AND(AC39&gt;500000,AND(AC39&lt;=750000)),ROUND(12500+(AC39-500000)*10%,0),
IF(AND(AC39&gt;750000,AND(AC39&lt;=1000000)),ROUND(37500+(AC39-750000)*15%,0),
IF(AND(AC39&gt;1000000,AND(AC39&lt;=1250000)),ROUND(75000+(AC39-1000000)*20%,0),
IF(AND(AC39&gt;1250000,AND(AC39&lt;=1500000)),ROUND(125000+(AC39-1250000)*25%,0),
IF(AND(AC39&gt;1500000),ROUND(187500+(AC39-1500000)*30%,0),0)))))))</f>
        <v>0</v>
      </c>
      <c r="AE39" s="717">
        <f>IF(AC39&lt;=500000,MIN(AD39,12500),0)</f>
        <v>0</v>
      </c>
      <c r="AF39" s="717">
        <f>AD39-AE39</f>
        <v>0</v>
      </c>
      <c r="AG39" s="717">
        <f>AF39*0.04</f>
        <v>0</v>
      </c>
      <c r="AH39" s="717">
        <f>AF39+AG39</f>
        <v>0</v>
      </c>
      <c r="AI39" s="589"/>
      <c r="AJ39" s="861" t="s">
        <v>531</v>
      </c>
      <c r="AK39" s="716">
        <f>'10E DATA'!D19</f>
        <v>0</v>
      </c>
      <c r="AL39" s="717">
        <f>IF(AND(AK39&lt;=250000),0,
IF(AND(AK39&gt;250000,AND(AK39&lt;=500000)),ROUND((AK39-250000)*5%,0),
IF(AND(AK39&gt;500000,AND(AK39&lt;=1000000)),ROUND(12500+(AK39-500000)*20%,0),
IF(AND(AK39&gt;1000000),ROUND(112500+(AK39-1000000)*30%,0),0))))</f>
        <v>0</v>
      </c>
      <c r="AM39" s="717">
        <f>IF(AC39&lt;=500000,MIN(AL39,12500),0)</f>
        <v>0</v>
      </c>
      <c r="AN39" s="717">
        <f t="shared" si="15"/>
        <v>0</v>
      </c>
      <c r="AO39" s="717">
        <f t="shared" si="24"/>
        <v>0</v>
      </c>
      <c r="AP39" s="717">
        <f t="shared" si="17"/>
        <v>0</v>
      </c>
      <c r="AQ39" s="589"/>
      <c r="AR39" s="861" t="s">
        <v>531</v>
      </c>
      <c r="AS39" s="716">
        <f t="shared" si="22"/>
        <v>0</v>
      </c>
      <c r="AT39" s="717">
        <f t="shared" si="23"/>
        <v>0</v>
      </c>
      <c r="AU39" s="717">
        <f t="shared" si="18"/>
        <v>0</v>
      </c>
      <c r="AV39" s="717">
        <f t="shared" si="19"/>
        <v>0</v>
      </c>
      <c r="AW39" s="717">
        <f t="shared" si="20"/>
        <v>0</v>
      </c>
      <c r="AX39" s="717">
        <f t="shared" si="21"/>
        <v>0</v>
      </c>
      <c r="BN39" s="589"/>
    </row>
    <row r="40" spans="2:66" ht="32.450000000000003" customHeight="1" x14ac:dyDescent="0.2">
      <c r="AA40" s="589"/>
      <c r="AB40" s="861" t="str">
        <f t="shared" si="25"/>
        <v>FY 2023-24</v>
      </c>
      <c r="AC40" s="716">
        <f t="shared" si="25"/>
        <v>0</v>
      </c>
      <c r="AD40" s="717">
        <f>IF(AND(AC40&lt;=300000),0,
IF(AND(AC40&gt;300000,AND(AC40&lt;=600000)),ROUND((AC40-300000)*5%,0),
IF(AND(AC40&gt;600000,AND(AC40&lt;=900000)),ROUND(15000+(AC40-600000)*10%,0),
IF(AND(AC40&gt;900000,AND(AC40&lt;=1200000)),ROUND(45000+(AC40-900000)*15%,0),
IF(AND(AC40&gt;1200000,AND(AC40&lt;=1500000)),ROUND(90000+(AC40-1200000)*20%,0),
IF(AND(AC40&gt;1500000),ROUND(150000+(AC40-1500000)*30%,0),0))))))</f>
        <v>0</v>
      </c>
      <c r="AE40" s="717">
        <f>MAX(0,MIN(AD40,-(AC40-700000-AD40)))</f>
        <v>0</v>
      </c>
      <c r="AF40" s="717">
        <f>AD40-AE40</f>
        <v>0</v>
      </c>
      <c r="AG40" s="717">
        <f>AF40*0.04</f>
        <v>0</v>
      </c>
      <c r="AH40" s="717">
        <f>AF40+AG40</f>
        <v>0</v>
      </c>
      <c r="AI40" s="589"/>
      <c r="AJ40" s="861" t="s">
        <v>533</v>
      </c>
      <c r="AK40" s="716">
        <f>'10E DATA'!D20</f>
        <v>0</v>
      </c>
      <c r="AL40" s="717">
        <f>IF(AND(AK40&lt;=250000),0,
IF(AND(AK40&gt;250000,AND(AK40&lt;=500000)),ROUND((AK40-250000)*5%,0),
IF(AND(AK40&gt;500000,AND(AK40&lt;=1000000)),ROUND(12500+(AK40-500000)*20%,0),
IF(AND(AK40&gt;1000000),ROUND(112500+(AK40-1000000)*30%,0),0))))</f>
        <v>0</v>
      </c>
      <c r="AM40" s="717">
        <f>IF(AC40&lt;=500000,MIN(AL40,12500),0)</f>
        <v>0</v>
      </c>
      <c r="AN40" s="717">
        <f t="shared" si="15"/>
        <v>0</v>
      </c>
      <c r="AO40" s="717">
        <f t="shared" si="24"/>
        <v>0</v>
      </c>
      <c r="AP40" s="717">
        <f t="shared" si="17"/>
        <v>0</v>
      </c>
      <c r="AQ40" s="589"/>
      <c r="AR40" s="861" t="s">
        <v>533</v>
      </c>
      <c r="AS40" s="716">
        <f t="shared" si="22"/>
        <v>0</v>
      </c>
      <c r="AT40" s="717">
        <f t="shared" si="23"/>
        <v>0</v>
      </c>
      <c r="AU40" s="717">
        <f t="shared" si="18"/>
        <v>0</v>
      </c>
      <c r="AV40" s="717">
        <f t="shared" si="19"/>
        <v>0</v>
      </c>
      <c r="AW40" s="717">
        <f t="shared" si="20"/>
        <v>0</v>
      </c>
      <c r="AX40" s="717">
        <f t="shared" si="21"/>
        <v>0</v>
      </c>
      <c r="BN40" s="589"/>
    </row>
    <row r="41" spans="2:66" ht="32.450000000000003" customHeight="1" x14ac:dyDescent="0.25">
      <c r="AA41" s="589"/>
      <c r="AB41" s="861" t="str">
        <f t="shared" si="25"/>
        <v>FY 2024-25</v>
      </c>
      <c r="AC41" s="716">
        <f t="shared" si="25"/>
        <v>903410</v>
      </c>
      <c r="AD41" s="717">
        <f>IF(AND(AC41&lt;=300000),0,
IF(AND(AC41&gt;300000,AND(AC41&lt;=700000)),ROUND((AC41-300000)*5%,0),
IF(AND(AC41&gt;700000,AND(AC41&lt;=1000000)),ROUND(20000+(AC41-700000)*10%,0),
IF(AND(AC41&gt;1000000,AND(AC41&lt;=1200000)),ROUND(50000+(AC41-1000000)*15%,0),
IF(AND(AC41&gt;1200000,AND(AC41&lt;=1500000)),ROUND(80000+(AC41-1200000)*20%,0),
IF(AND(AC41&gt;1500000),ROUND(140000+(AC41-1500000)*30%,0),0))))))</f>
        <v>40341</v>
      </c>
      <c r="AE41" s="717">
        <f>MAX(0,MIN(AD41,-(AC41-700000-AD41)))</f>
        <v>0</v>
      </c>
      <c r="AF41" s="717">
        <f>AD41-AE41</f>
        <v>40341</v>
      </c>
      <c r="AG41" s="717">
        <f>AF41*0.04</f>
        <v>1613.64</v>
      </c>
      <c r="AH41" s="717">
        <f>AF41+AG41</f>
        <v>41954.64</v>
      </c>
      <c r="AI41" s="589"/>
      <c r="AJ41" s="861" t="s">
        <v>536</v>
      </c>
      <c r="AK41" s="716">
        <f>'10E DATA'!D21</f>
        <v>903410</v>
      </c>
      <c r="AL41" s="717">
        <f>IF(AND(AK41&lt;=250000),0,
IF(AND(AK41&gt;250000,AND(AK41&lt;=500000)),ROUND((AK41-250000)*5%,0),
IF(AND(AK41&gt;500000,AND(AK41&lt;=1000000)),ROUND(12500+(AK41-500000)*20%,0),
IF(AND(AK41&gt;1000000),ROUND(112500+(AK41-1000000)*30%,0),0))))</f>
        <v>93182</v>
      </c>
      <c r="AM41" s="717">
        <f>IF(AC41&lt;=500000,MIN(AL41,12500),0)</f>
        <v>0</v>
      </c>
      <c r="AN41" s="717">
        <f t="shared" si="15"/>
        <v>93182</v>
      </c>
      <c r="AO41" s="717">
        <f t="shared" si="24"/>
        <v>3727.28</v>
      </c>
      <c r="AP41" s="717">
        <f t="shared" si="17"/>
        <v>96909.28</v>
      </c>
      <c r="AQ41" s="589"/>
      <c r="AR41" s="861" t="s">
        <v>536</v>
      </c>
      <c r="AS41" s="716">
        <f t="shared" ref="AS41:AX41" si="26">AK41</f>
        <v>903410</v>
      </c>
      <c r="AT41" s="717">
        <f t="shared" si="26"/>
        <v>93182</v>
      </c>
      <c r="AU41" s="717">
        <f t="shared" si="26"/>
        <v>0</v>
      </c>
      <c r="AV41" s="717">
        <f t="shared" si="26"/>
        <v>93182</v>
      </c>
      <c r="AW41" s="717">
        <f t="shared" si="26"/>
        <v>3727.28</v>
      </c>
      <c r="AX41" s="717">
        <f t="shared" si="26"/>
        <v>96909.28</v>
      </c>
      <c r="BN41" s="853"/>
    </row>
    <row r="42" spans="2:66" ht="32.450000000000003" customHeight="1" x14ac:dyDescent="0.25">
      <c r="BN42" s="853"/>
    </row>
    <row r="43" spans="2:66" ht="32.450000000000003" customHeight="1" x14ac:dyDescent="0.25">
      <c r="BN43" s="853"/>
    </row>
    <row r="44" spans="2:66" ht="32.450000000000003" customHeight="1" x14ac:dyDescent="0.25">
      <c r="BN44" s="853"/>
    </row>
    <row r="45" spans="2:66" ht="24" x14ac:dyDescent="0.2">
      <c r="AR45" s="1538"/>
      <c r="AS45" s="1538"/>
      <c r="AT45" s="1538"/>
      <c r="AU45" s="1538"/>
      <c r="AV45" s="1538"/>
      <c r="AW45" s="1538"/>
      <c r="AX45" s="1538"/>
      <c r="BN45" s="589"/>
    </row>
    <row r="46" spans="2:66" x14ac:dyDescent="0.25">
      <c r="AA46" s="589"/>
      <c r="AI46" s="589"/>
      <c r="AQ46" s="589"/>
      <c r="AR46" s="735"/>
      <c r="AS46" s="736"/>
      <c r="AT46" s="736"/>
      <c r="AU46" s="737"/>
      <c r="AV46" s="736"/>
      <c r="AW46" s="737"/>
      <c r="AX46" s="736"/>
      <c r="BN46" s="853"/>
    </row>
    <row r="47" spans="2:66" ht="32.450000000000003" customHeight="1" x14ac:dyDescent="0.25">
      <c r="AR47" s="864"/>
      <c r="AS47" s="738"/>
      <c r="AT47" s="739"/>
      <c r="AU47" s="739"/>
      <c r="AV47" s="739"/>
      <c r="AW47" s="739"/>
      <c r="AX47" s="739"/>
      <c r="BN47" s="853"/>
    </row>
    <row r="48" spans="2:66" ht="32.450000000000003" customHeight="1" x14ac:dyDescent="0.25">
      <c r="AR48" s="864"/>
      <c r="AS48" s="738"/>
      <c r="AT48" s="739"/>
      <c r="AU48" s="739"/>
      <c r="AV48" s="739"/>
      <c r="AW48" s="739"/>
      <c r="AX48" s="739"/>
      <c r="BN48" s="853"/>
    </row>
    <row r="49" spans="27:66" ht="32.450000000000003" customHeight="1" x14ac:dyDescent="0.25">
      <c r="AR49" s="864"/>
      <c r="AS49" s="738"/>
      <c r="AT49" s="739"/>
      <c r="AU49" s="739"/>
      <c r="AV49" s="739"/>
      <c r="AW49" s="739"/>
      <c r="AX49" s="739"/>
      <c r="BN49" s="853"/>
    </row>
    <row r="50" spans="27:66" ht="15" x14ac:dyDescent="0.2">
      <c r="AA50" s="589"/>
      <c r="AB50" s="589"/>
      <c r="AC50" s="589"/>
      <c r="AD50" s="589"/>
      <c r="AE50" s="589"/>
      <c r="AF50" s="589"/>
      <c r="AG50" s="589"/>
      <c r="AH50" s="589"/>
      <c r="AI50" s="589"/>
      <c r="AJ50" s="589"/>
      <c r="AK50" s="589"/>
      <c r="AL50" s="589"/>
      <c r="AM50" s="589"/>
      <c r="AN50" s="589"/>
      <c r="AO50" s="589"/>
      <c r="AP50" s="589"/>
      <c r="AQ50" s="589"/>
      <c r="AR50" s="589"/>
      <c r="AS50" s="589"/>
      <c r="AT50" s="589"/>
      <c r="AU50" s="589"/>
      <c r="AV50" s="589"/>
      <c r="AW50" s="589"/>
      <c r="AX50" s="589"/>
      <c r="BN50" s="589"/>
    </row>
    <row r="52" spans="27:66" ht="26.25" x14ac:dyDescent="0.25">
      <c r="AR52" s="1539"/>
      <c r="AS52" s="1539"/>
      <c r="AT52" s="1539"/>
      <c r="AU52" s="1539"/>
      <c r="AV52" s="1539"/>
      <c r="AW52" s="1539"/>
      <c r="AX52" s="1539"/>
      <c r="BN52" s="853"/>
    </row>
    <row r="53" spans="27:66" ht="17.25" x14ac:dyDescent="0.25">
      <c r="AR53" s="740"/>
      <c r="AS53" s="736"/>
      <c r="AT53" s="736"/>
      <c r="AU53" s="737"/>
      <c r="AV53" s="736"/>
      <c r="AW53" s="737"/>
      <c r="AX53" s="736"/>
      <c r="BN53" s="853"/>
    </row>
    <row r="54" spans="27:66" ht="32.450000000000003" customHeight="1" x14ac:dyDescent="0.25">
      <c r="AR54" s="864"/>
      <c r="AS54" s="738"/>
      <c r="AT54" s="739"/>
      <c r="AU54" s="739"/>
      <c r="AV54" s="739"/>
      <c r="AW54" s="739"/>
      <c r="AX54" s="739"/>
      <c r="BN54" s="853"/>
    </row>
    <row r="55" spans="27:66" ht="32.450000000000003" customHeight="1" x14ac:dyDescent="0.25">
      <c r="AR55" s="864"/>
      <c r="AS55" s="738"/>
      <c r="AT55" s="739"/>
      <c r="AU55" s="739"/>
      <c r="AV55" s="739"/>
      <c r="AW55" s="739"/>
      <c r="AX55" s="739"/>
      <c r="BN55" s="853"/>
    </row>
    <row r="56" spans="27:66" ht="32.450000000000003" customHeight="1" x14ac:dyDescent="0.25">
      <c r="AR56" s="864"/>
      <c r="AS56" s="738"/>
      <c r="AT56" s="739"/>
      <c r="AU56" s="739"/>
      <c r="AV56" s="739"/>
      <c r="AW56" s="739"/>
      <c r="AX56" s="739"/>
      <c r="BN56" s="853"/>
    </row>
  </sheetData>
  <sheetProtection algorithmName="SHA-512" hashValue="0hRROzLhZJpc0g6ys9eGGAx4ka5aK9DCOPWdoGzPD+JqI+w4d9arjrysAIVNYGt8mVFFVuaKgR3IBoyNPouL8g==" saltValue="qpjvh6ulVFgTS/BSgCE3/w==" spinCount="100000" sheet="1" objects="1" scenarios="1" selectLockedCells="1"/>
  <mergeCells count="19">
    <mergeCell ref="K25:N25"/>
    <mergeCell ref="L6:M6"/>
    <mergeCell ref="K16:N18"/>
    <mergeCell ref="K20:N21"/>
    <mergeCell ref="K23:N23"/>
    <mergeCell ref="B2:C2"/>
    <mergeCell ref="K2:N2"/>
    <mergeCell ref="B4:C4"/>
    <mergeCell ref="D4:G4"/>
    <mergeCell ref="H4:I4"/>
    <mergeCell ref="K4:N5"/>
    <mergeCell ref="AR2:AX2"/>
    <mergeCell ref="AJ23:AP23"/>
    <mergeCell ref="AB23:AH23"/>
    <mergeCell ref="AR45:AX45"/>
    <mergeCell ref="AR52:AX52"/>
    <mergeCell ref="AJ2:AP2"/>
    <mergeCell ref="AB2:AH2"/>
    <mergeCell ref="AR23:AX23"/>
  </mergeCells>
  <conditionalFormatting sqref="B4:C4">
    <cfRule type="containsText" dxfId="12" priority="1" operator="containsText" text="FEMALE">
      <formula>NOT(ISERROR(SEARCH("FEMALE",B4)))</formula>
    </cfRule>
  </conditionalFormatting>
  <conditionalFormatting sqref="M10:M11">
    <cfRule type="containsText" dxfId="11" priority="2" operator="containsText" text="NEW">
      <formula>NOT(ISERROR(SEARCH("NEW",M10)))</formula>
    </cfRule>
  </conditionalFormatting>
  <dataValidations count="2">
    <dataValidation type="list" allowBlank="1" showInputMessage="1" showErrorMessage="1" sqref="B4:C4" xr:uid="{6FA5E497-47FA-4F72-B962-960F035F5131}">
      <formula1>"MALE,FEMALE"</formula1>
    </dataValidation>
    <dataValidation type="list" allowBlank="1" showInputMessage="1" showErrorMessage="1" sqref="C17:C20" xr:uid="{D1547880-9DCA-4AEC-8042-E8D55378741E}">
      <formula1>"OLD,NEW"</formula1>
    </dataValidation>
  </dataValidations>
  <printOptions horizontalCentered="1"/>
  <pageMargins left="9.8425196850393706E-2" right="9.8425196850393706E-2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DATA</vt:lpstr>
      <vt:lpstr>A1(Editabe)</vt:lpstr>
      <vt:lpstr>ANNEXURE I</vt:lpstr>
      <vt:lpstr>ANNEXURE II</vt:lpstr>
      <vt:lpstr>FORM16_FRONT</vt:lpstr>
      <vt:lpstr>FORM16_BACK</vt:lpstr>
      <vt:lpstr>RENT RECEIPT</vt:lpstr>
      <vt:lpstr>FORM_12BB</vt:lpstr>
      <vt:lpstr>10E DATA</vt:lpstr>
      <vt:lpstr>10E PRINT</vt:lpstr>
      <vt:lpstr>KEY</vt:lpstr>
      <vt:lpstr>AAS</vt:lpstr>
      <vt:lpstr>AAS_Present_Year</vt:lpstr>
      <vt:lpstr>AGE</vt:lpstr>
      <vt:lpstr>Age_Group</vt:lpstr>
      <vt:lpstr>BEST</vt:lpstr>
      <vt:lpstr>BP_2020</vt:lpstr>
      <vt:lpstr>BP_2021</vt:lpstr>
      <vt:lpstr>BP_2022</vt:lpstr>
      <vt:lpstr>DA_HRA_Months</vt:lpstr>
      <vt:lpstr>DATES</vt:lpstr>
      <vt:lpstr>EL_MONTHS_01</vt:lpstr>
      <vt:lpstr>EL_MONTHS_02</vt:lpstr>
      <vt:lpstr>EL_MONTHS_03</vt:lpstr>
      <vt:lpstr>Gender</vt:lpstr>
      <vt:lpstr>LOANS</vt:lpstr>
      <vt:lpstr>Months_18</vt:lpstr>
      <vt:lpstr>Months_19</vt:lpstr>
      <vt:lpstr>Months_20</vt:lpstr>
      <vt:lpstr>OTHER_SAVINGS_LIST</vt:lpstr>
      <vt:lpstr>10E PRINT!Print_Area</vt:lpstr>
      <vt:lpstr>A1(Editabe)!Print_Area</vt:lpstr>
      <vt:lpstr>ANNEXURE II!Print_Area</vt:lpstr>
      <vt:lpstr>FORM_12BB!Print_Area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TAX 2025-2026</dc:title>
  <dc:subject/>
  <dc:creator>Ramanjaneyulu Perumal;99 63 53 53 04</dc:creator>
  <cp:keywords>FIN YEAR 2025-2026</cp:keywords>
  <dc:description/>
  <cp:lastModifiedBy>Ramanjaneyulu Perumal</cp:lastModifiedBy>
  <cp:revision/>
  <dcterms:created xsi:type="dcterms:W3CDTF">2018-12-03T21:54:08Z</dcterms:created>
  <dcterms:modified xsi:type="dcterms:W3CDTF">2025-11-16T12:33:56Z</dcterms:modified>
  <cp:category>AP Govt. Employees</cp:category>
  <cp:contentStatus/>
</cp:coreProperties>
</file>